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810" windowWidth="18195" windowHeight="10530" activeTab="4"/>
  </bookViews>
  <sheets>
    <sheet name="21-23" sheetId="1" r:id="rId1"/>
    <sheet name="22-24" sheetId="2" r:id="rId2"/>
    <sheet name="23-25" sheetId="3" r:id="rId3"/>
    <sheet name="25-27" sheetId="4" r:id="rId4"/>
    <sheet name="26-28" sheetId="5" r:id="rId5"/>
  </sheets>
  <definedNames>
    <definedName name="_xlnm._FilterDatabase" localSheetId="0" hidden="1">'21-23'!$A$99:$P$184</definedName>
    <definedName name="_xlnm._FilterDatabase" localSheetId="2" hidden="1">'23-25'!$A$11:$R$11</definedName>
    <definedName name="_xlnm.Print_Area" localSheetId="1">'22-24'!$A$1:$L$224</definedName>
    <definedName name="_xlnm.Print_Area" localSheetId="2">'23-25'!$A$1:$L$284</definedName>
    <definedName name="_xlnm.Print_Area" localSheetId="4">'26-28'!$A$1:$N$255</definedName>
  </definedNames>
  <calcPr calcId="144525"/>
</workbook>
</file>

<file path=xl/calcChain.xml><?xml version="1.0" encoding="utf-8"?>
<calcChain xmlns="http://schemas.openxmlformats.org/spreadsheetml/2006/main">
  <c r="I200" i="5" l="1"/>
  <c r="K200" i="5"/>
  <c r="L200" i="5"/>
  <c r="M200" i="5"/>
  <c r="H200" i="5"/>
  <c r="J196" i="5"/>
  <c r="J195" i="5"/>
  <c r="I170" i="5"/>
  <c r="J170" i="5"/>
  <c r="K170" i="5"/>
  <c r="L170" i="5"/>
  <c r="M170" i="5"/>
  <c r="H170" i="5"/>
  <c r="I120" i="5"/>
  <c r="I107" i="5" s="1"/>
  <c r="J120" i="5"/>
  <c r="J107" i="5" s="1"/>
  <c r="K120" i="5"/>
  <c r="L120" i="5"/>
  <c r="M120" i="5"/>
  <c r="H120" i="5"/>
  <c r="H107" i="5" s="1"/>
  <c r="J250" i="5"/>
  <c r="J251" i="5"/>
  <c r="J252" i="5"/>
  <c r="J253" i="5"/>
  <c r="J254" i="5"/>
  <c r="J255" i="5"/>
  <c r="J249" i="5"/>
  <c r="J247" i="5"/>
  <c r="J246" i="5"/>
  <c r="J243" i="5"/>
  <c r="J242" i="5"/>
  <c r="J237" i="5"/>
  <c r="J231" i="5"/>
  <c r="J232" i="5"/>
  <c r="J233" i="5"/>
  <c r="J234" i="5"/>
  <c r="J230" i="5"/>
  <c r="J228" i="5"/>
  <c r="J225" i="5"/>
  <c r="J223" i="5"/>
  <c r="J221" i="5"/>
  <c r="J219" i="5"/>
  <c r="J217" i="5"/>
  <c r="J215" i="5"/>
  <c r="J202" i="5"/>
  <c r="J200" i="5" s="1"/>
  <c r="J203" i="5"/>
  <c r="J204" i="5"/>
  <c r="J205" i="5"/>
  <c r="J206" i="5"/>
  <c r="J207" i="5"/>
  <c r="J208" i="5"/>
  <c r="J209" i="5"/>
  <c r="J210" i="5"/>
  <c r="J211" i="5"/>
  <c r="J201" i="5"/>
  <c r="J192" i="5"/>
  <c r="J193" i="5"/>
  <c r="J194" i="5"/>
  <c r="J197" i="5"/>
  <c r="J187" i="5"/>
  <c r="J188" i="5"/>
  <c r="J189" i="5"/>
  <c r="J190" i="5"/>
  <c r="J191" i="5"/>
  <c r="J183" i="5"/>
  <c r="J184" i="5"/>
  <c r="J185" i="5"/>
  <c r="J186" i="5"/>
  <c r="J181" i="5"/>
  <c r="J179" i="5"/>
  <c r="J177" i="5"/>
  <c r="J175" i="5"/>
  <c r="J169" i="5"/>
  <c r="J167" i="5"/>
  <c r="J163" i="5"/>
  <c r="J160" i="5"/>
  <c r="J158" i="5"/>
  <c r="J156" i="5"/>
  <c r="I148" i="5"/>
  <c r="I147" i="5" s="1"/>
  <c r="J148" i="5"/>
  <c r="J147" i="5" s="1"/>
  <c r="K148" i="5"/>
  <c r="K147" i="5" s="1"/>
  <c r="L148" i="5"/>
  <c r="L147" i="5" s="1"/>
  <c r="M148" i="5"/>
  <c r="M147" i="5" s="1"/>
  <c r="H148" i="5"/>
  <c r="H147" i="5"/>
  <c r="J37" i="5"/>
  <c r="I33" i="5"/>
  <c r="J33" i="5"/>
  <c r="K33" i="5"/>
  <c r="L33" i="5"/>
  <c r="M33" i="5"/>
  <c r="I236" i="5" l="1"/>
  <c r="J236" i="5"/>
  <c r="K236" i="5"/>
  <c r="L236" i="5"/>
  <c r="M236" i="5"/>
  <c r="H236" i="5"/>
  <c r="H235" i="5" s="1"/>
  <c r="I235" i="5"/>
  <c r="J235" i="5"/>
  <c r="K235" i="5"/>
  <c r="L235" i="5"/>
  <c r="M235" i="5"/>
  <c r="I229" i="5"/>
  <c r="J229" i="5"/>
  <c r="K229" i="5"/>
  <c r="L229" i="5"/>
  <c r="M229" i="5"/>
  <c r="H229" i="5"/>
  <c r="I138" i="5"/>
  <c r="J138" i="5"/>
  <c r="K138" i="5"/>
  <c r="L138" i="5"/>
  <c r="M138" i="5"/>
  <c r="H138" i="5"/>
  <c r="I135" i="5"/>
  <c r="I134" i="5" s="1"/>
  <c r="J135" i="5"/>
  <c r="J134" i="5" s="1"/>
  <c r="K135" i="5"/>
  <c r="K134" i="5" s="1"/>
  <c r="L135" i="5"/>
  <c r="L134" i="5" s="1"/>
  <c r="M135" i="5"/>
  <c r="M134" i="5" s="1"/>
  <c r="H135" i="5"/>
  <c r="H134" i="5" s="1"/>
  <c r="I93" i="5"/>
  <c r="J93" i="5"/>
  <c r="K93" i="5"/>
  <c r="L93" i="5"/>
  <c r="M93" i="5"/>
  <c r="H93" i="5"/>
  <c r="I248" i="5" l="1"/>
  <c r="I245" i="5" s="1"/>
  <c r="J248" i="5"/>
  <c r="J245" i="5" s="1"/>
  <c r="K248" i="5"/>
  <c r="K245" i="5" s="1"/>
  <c r="L248" i="5"/>
  <c r="L245" i="5" s="1"/>
  <c r="M248" i="5"/>
  <c r="M245" i="5" s="1"/>
  <c r="H248" i="5"/>
  <c r="H245" i="5" s="1"/>
  <c r="I244" i="5" l="1"/>
  <c r="J244" i="5"/>
  <c r="K244" i="5"/>
  <c r="L244" i="5"/>
  <c r="M244" i="5"/>
  <c r="H244" i="5"/>
  <c r="I241" i="5"/>
  <c r="J241" i="5"/>
  <c r="K241" i="5"/>
  <c r="L241" i="5"/>
  <c r="M241" i="5"/>
  <c r="H241" i="5"/>
  <c r="I240" i="5" l="1"/>
  <c r="K240" i="5"/>
  <c r="M240" i="5"/>
  <c r="J240" i="5"/>
  <c r="L240" i="5"/>
  <c r="J239" i="5"/>
  <c r="J238" i="5" s="1"/>
  <c r="K239" i="5"/>
  <c r="K238" i="5" s="1"/>
  <c r="L239" i="5"/>
  <c r="L238" i="5" s="1"/>
  <c r="M239" i="5"/>
  <c r="M238" i="5" s="1"/>
  <c r="H240" i="5"/>
  <c r="H239" i="5"/>
  <c r="H238" i="5" s="1"/>
  <c r="I227" i="5"/>
  <c r="J227" i="5"/>
  <c r="K227" i="5"/>
  <c r="L227" i="5"/>
  <c r="M227" i="5"/>
  <c r="H227" i="5"/>
  <c r="I220" i="5"/>
  <c r="J220" i="5"/>
  <c r="K220" i="5"/>
  <c r="L220" i="5"/>
  <c r="M220" i="5"/>
  <c r="H220" i="5"/>
  <c r="I216" i="5"/>
  <c r="J216" i="5"/>
  <c r="K216" i="5"/>
  <c r="L216" i="5"/>
  <c r="M216" i="5"/>
  <c r="H216" i="5"/>
  <c r="I214" i="5"/>
  <c r="J214" i="5"/>
  <c r="K214" i="5"/>
  <c r="L214" i="5"/>
  <c r="M214" i="5"/>
  <c r="H214" i="5"/>
  <c r="I199" i="5"/>
  <c r="J199" i="5"/>
  <c r="K199" i="5"/>
  <c r="L199" i="5"/>
  <c r="M199" i="5"/>
  <c r="H199" i="5"/>
  <c r="I239" i="5" l="1"/>
  <c r="I238" i="5" s="1"/>
  <c r="I178" i="5"/>
  <c r="J178" i="5"/>
  <c r="K178" i="5"/>
  <c r="L178" i="5"/>
  <c r="M178" i="5"/>
  <c r="H178" i="5"/>
  <c r="I176" i="5"/>
  <c r="J176" i="5"/>
  <c r="K176" i="5"/>
  <c r="L176" i="5"/>
  <c r="M176" i="5"/>
  <c r="H176" i="5"/>
  <c r="I174" i="5"/>
  <c r="J174" i="5"/>
  <c r="K174" i="5"/>
  <c r="L174" i="5"/>
  <c r="M174" i="5"/>
  <c r="H174" i="5"/>
  <c r="I172" i="5"/>
  <c r="K172" i="5"/>
  <c r="L172" i="5"/>
  <c r="M172" i="5"/>
  <c r="H172" i="5"/>
  <c r="I168" i="5"/>
  <c r="J168" i="5"/>
  <c r="K168" i="5"/>
  <c r="L168" i="5"/>
  <c r="M168" i="5"/>
  <c r="H168" i="5"/>
  <c r="I166" i="5"/>
  <c r="J166" i="5"/>
  <c r="K166" i="5"/>
  <c r="L166" i="5"/>
  <c r="M166" i="5"/>
  <c r="H166" i="5"/>
  <c r="I164" i="5"/>
  <c r="K164" i="5"/>
  <c r="L164" i="5"/>
  <c r="M164" i="5"/>
  <c r="H164" i="5"/>
  <c r="I162" i="5"/>
  <c r="J162" i="5"/>
  <c r="K162" i="5"/>
  <c r="L162" i="5"/>
  <c r="M162" i="5"/>
  <c r="H162" i="5"/>
  <c r="I159" i="5"/>
  <c r="I154" i="5" s="1"/>
  <c r="J159" i="5"/>
  <c r="K159" i="5"/>
  <c r="K154" i="5" s="1"/>
  <c r="L159" i="5"/>
  <c r="L154" i="5" s="1"/>
  <c r="M159" i="5"/>
  <c r="M154" i="5" s="1"/>
  <c r="H159" i="5"/>
  <c r="H154" i="5" s="1"/>
  <c r="I157" i="5"/>
  <c r="K157" i="5"/>
  <c r="L157" i="5"/>
  <c r="M157" i="5"/>
  <c r="H157" i="5"/>
  <c r="I155" i="5"/>
  <c r="K155" i="5"/>
  <c r="L155" i="5"/>
  <c r="M155" i="5"/>
  <c r="H155" i="5"/>
  <c r="I141" i="5"/>
  <c r="K141" i="5"/>
  <c r="L141" i="5"/>
  <c r="M141" i="5"/>
  <c r="H141" i="5"/>
  <c r="H137" i="5" l="1"/>
  <c r="M137" i="5"/>
  <c r="I137" i="5"/>
  <c r="K137" i="5"/>
  <c r="L137" i="5"/>
  <c r="H131" i="5"/>
  <c r="I131" i="5"/>
  <c r="K131" i="5"/>
  <c r="L131" i="5"/>
  <c r="M131" i="5"/>
  <c r="I128" i="5"/>
  <c r="K128" i="5"/>
  <c r="L128" i="5"/>
  <c r="M128" i="5"/>
  <c r="H128" i="5"/>
  <c r="I80" i="5"/>
  <c r="J80" i="5"/>
  <c r="K80" i="5"/>
  <c r="L80" i="5"/>
  <c r="M80" i="5"/>
  <c r="H80" i="5"/>
  <c r="K53" i="5" l="1"/>
  <c r="L53" i="5"/>
  <c r="M53" i="5"/>
  <c r="I25" i="5"/>
  <c r="K25" i="5"/>
  <c r="L25" i="5"/>
  <c r="M25" i="5"/>
  <c r="H25" i="5"/>
  <c r="I23" i="5"/>
  <c r="K23" i="5"/>
  <c r="L23" i="5"/>
  <c r="M23" i="5"/>
  <c r="H23" i="5"/>
  <c r="I21" i="5"/>
  <c r="K21" i="5"/>
  <c r="L21" i="5"/>
  <c r="M21" i="5"/>
  <c r="H21" i="5"/>
  <c r="I19" i="5"/>
  <c r="K19" i="5"/>
  <c r="L19" i="5"/>
  <c r="M19" i="5"/>
  <c r="H19" i="5"/>
  <c r="I97" i="5"/>
  <c r="K97" i="5"/>
  <c r="L97" i="5"/>
  <c r="M97" i="5"/>
  <c r="H97" i="5"/>
  <c r="I102" i="5"/>
  <c r="K102" i="5"/>
  <c r="L102" i="5"/>
  <c r="M102" i="5"/>
  <c r="H102" i="5"/>
  <c r="I100" i="5"/>
  <c r="K100" i="5"/>
  <c r="L100" i="5"/>
  <c r="M100" i="5"/>
  <c r="H100" i="5"/>
  <c r="J100" i="5"/>
  <c r="I85" i="5"/>
  <c r="J85" i="5"/>
  <c r="K85" i="5"/>
  <c r="L85" i="5"/>
  <c r="M85" i="5"/>
  <c r="H85" i="5"/>
  <c r="I76" i="5"/>
  <c r="I75" i="5" s="1"/>
  <c r="K76" i="5"/>
  <c r="K75" i="5" s="1"/>
  <c r="L76" i="5"/>
  <c r="L75" i="5" s="1"/>
  <c r="M76" i="5"/>
  <c r="M75" i="5" s="1"/>
  <c r="H76" i="5"/>
  <c r="H75" i="5" s="1"/>
  <c r="L99" i="5" l="1"/>
  <c r="L96" i="5" s="1"/>
  <c r="H18" i="5"/>
  <c r="H17" i="5" s="1"/>
  <c r="I18" i="5"/>
  <c r="I17" i="5" s="1"/>
  <c r="L18" i="5"/>
  <c r="L17" i="5" s="1"/>
  <c r="M18" i="5"/>
  <c r="M17" i="5" s="1"/>
  <c r="K18" i="5"/>
  <c r="K17" i="5" s="1"/>
  <c r="K99" i="5"/>
  <c r="K96" i="5" s="1"/>
  <c r="M99" i="5"/>
  <c r="M96" i="5" s="1"/>
  <c r="I99" i="5"/>
  <c r="I96" i="5" s="1"/>
  <c r="H99" i="5"/>
  <c r="H96" i="5" s="1"/>
  <c r="I72" i="5"/>
  <c r="I70" i="5" s="1"/>
  <c r="K72" i="5"/>
  <c r="K70" i="5" s="1"/>
  <c r="L72" i="5"/>
  <c r="L70" i="5" s="1"/>
  <c r="M72" i="5"/>
  <c r="M70" i="5" s="1"/>
  <c r="H72" i="5"/>
  <c r="H70" i="5" s="1"/>
  <c r="I67" i="5"/>
  <c r="I66" i="5" s="1"/>
  <c r="K67" i="5"/>
  <c r="K66" i="5" s="1"/>
  <c r="L67" i="5"/>
  <c r="L66" i="5" s="1"/>
  <c r="M67" i="5"/>
  <c r="M66" i="5" s="1"/>
  <c r="H67" i="5"/>
  <c r="H66" i="5" s="1"/>
  <c r="I64" i="5"/>
  <c r="I63" i="5" s="1"/>
  <c r="K64" i="5"/>
  <c r="K63" i="5" s="1"/>
  <c r="L64" i="5"/>
  <c r="L63" i="5" s="1"/>
  <c r="M64" i="5"/>
  <c r="M63" i="5" s="1"/>
  <c r="H64" i="5"/>
  <c r="H63" i="5" s="1"/>
  <c r="I61" i="5"/>
  <c r="I60" i="5" s="1"/>
  <c r="K61" i="5"/>
  <c r="K60" i="5" s="1"/>
  <c r="L61" i="5"/>
  <c r="L60" i="5" s="1"/>
  <c r="M61" i="5"/>
  <c r="M60" i="5" s="1"/>
  <c r="H61" i="5"/>
  <c r="H60" i="5" s="1"/>
  <c r="I58" i="5"/>
  <c r="J58" i="5"/>
  <c r="K58" i="5"/>
  <c r="L58" i="5"/>
  <c r="M58" i="5"/>
  <c r="H58" i="5"/>
  <c r="I56" i="5"/>
  <c r="K56" i="5"/>
  <c r="L56" i="5"/>
  <c r="M56" i="5"/>
  <c r="H56" i="5"/>
  <c r="I53" i="5"/>
  <c r="H53" i="5"/>
  <c r="I45" i="5"/>
  <c r="K45" i="5"/>
  <c r="L45" i="5"/>
  <c r="M45" i="5"/>
  <c r="H45" i="5"/>
  <c r="I43" i="5"/>
  <c r="K43" i="5"/>
  <c r="L43" i="5"/>
  <c r="M43" i="5"/>
  <c r="H43" i="5"/>
  <c r="I31" i="5"/>
  <c r="J31" i="5"/>
  <c r="K31" i="5"/>
  <c r="L31" i="5"/>
  <c r="M31" i="5"/>
  <c r="H31" i="5"/>
  <c r="I29" i="5"/>
  <c r="K29" i="5"/>
  <c r="L29" i="5"/>
  <c r="M29" i="5"/>
  <c r="H29" i="5"/>
  <c r="I92" i="5"/>
  <c r="J92" i="5"/>
  <c r="K92" i="5"/>
  <c r="L92" i="5"/>
  <c r="M92" i="5"/>
  <c r="H92" i="5"/>
  <c r="M42" i="5" l="1"/>
  <c r="K52" i="5"/>
  <c r="K51" i="5" s="1"/>
  <c r="L42" i="5"/>
  <c r="L52" i="5"/>
  <c r="L51" i="5" s="1"/>
  <c r="M52" i="5"/>
  <c r="L28" i="5"/>
  <c r="H52" i="5"/>
  <c r="H51" i="5" s="1"/>
  <c r="I52" i="5"/>
  <c r="I51" i="5" s="1"/>
  <c r="I28" i="5"/>
  <c r="H42" i="5"/>
  <c r="I42" i="5"/>
  <c r="M51" i="5"/>
  <c r="M28" i="5"/>
  <c r="K42" i="5"/>
  <c r="K28" i="5"/>
  <c r="H28" i="5"/>
  <c r="M226" i="5"/>
  <c r="L226" i="5"/>
  <c r="K226" i="5"/>
  <c r="I226" i="5"/>
  <c r="M224" i="5"/>
  <c r="L224" i="5"/>
  <c r="K224" i="5"/>
  <c r="I224" i="5"/>
  <c r="H224" i="5"/>
  <c r="J224" i="5" s="1"/>
  <c r="M222" i="5"/>
  <c r="L222" i="5"/>
  <c r="K222" i="5"/>
  <c r="I222" i="5"/>
  <c r="H222" i="5"/>
  <c r="J222" i="5" s="1"/>
  <c r="M218" i="5"/>
  <c r="L218" i="5"/>
  <c r="K218" i="5"/>
  <c r="I218" i="5"/>
  <c r="H218" i="5"/>
  <c r="M180" i="5"/>
  <c r="M161" i="5" s="1"/>
  <c r="L180" i="5"/>
  <c r="L161" i="5" s="1"/>
  <c r="K180" i="5"/>
  <c r="K161" i="5" s="1"/>
  <c r="I180" i="5"/>
  <c r="I161" i="5" s="1"/>
  <c r="H180" i="5"/>
  <c r="H161" i="5" s="1"/>
  <c r="J173" i="5"/>
  <c r="J172" i="5" s="1"/>
  <c r="J165" i="5"/>
  <c r="J164" i="5" s="1"/>
  <c r="J157" i="5"/>
  <c r="J150" i="5"/>
  <c r="M150" i="5"/>
  <c r="L150" i="5"/>
  <c r="K150" i="5"/>
  <c r="I150" i="5"/>
  <c r="H150" i="5"/>
  <c r="M144" i="5"/>
  <c r="L144" i="5"/>
  <c r="K144" i="5"/>
  <c r="J144" i="5"/>
  <c r="I144" i="5"/>
  <c r="H144" i="5"/>
  <c r="J141" i="5"/>
  <c r="J137" i="5" s="1"/>
  <c r="J131" i="5"/>
  <c r="J128" i="5"/>
  <c r="J126" i="5"/>
  <c r="M126" i="5"/>
  <c r="L126" i="5"/>
  <c r="K126" i="5"/>
  <c r="I126" i="5"/>
  <c r="H126" i="5"/>
  <c r="M124" i="5"/>
  <c r="L124" i="5"/>
  <c r="K124" i="5"/>
  <c r="J124" i="5"/>
  <c r="I124" i="5"/>
  <c r="H124" i="5"/>
  <c r="J122" i="5"/>
  <c r="M122" i="5"/>
  <c r="M107" i="5" s="1"/>
  <c r="L122" i="5"/>
  <c r="L107" i="5" s="1"/>
  <c r="K122" i="5"/>
  <c r="I122" i="5"/>
  <c r="H122" i="5"/>
  <c r="M118" i="5"/>
  <c r="L118" i="5"/>
  <c r="K118" i="5"/>
  <c r="J118" i="5"/>
  <c r="I118" i="5"/>
  <c r="H118" i="5"/>
  <c r="J116" i="5"/>
  <c r="M116" i="5"/>
  <c r="L116" i="5"/>
  <c r="K116" i="5"/>
  <c r="I116" i="5"/>
  <c r="H116" i="5"/>
  <c r="M114" i="5"/>
  <c r="L114" i="5"/>
  <c r="K114" i="5"/>
  <c r="J114" i="5"/>
  <c r="I114" i="5"/>
  <c r="H114" i="5"/>
  <c r="M111" i="5"/>
  <c r="L111" i="5"/>
  <c r="K111" i="5"/>
  <c r="I111" i="5"/>
  <c r="H111" i="5"/>
  <c r="M108" i="5"/>
  <c r="L108" i="5"/>
  <c r="K108" i="5"/>
  <c r="J108" i="5"/>
  <c r="I108" i="5"/>
  <c r="H108" i="5"/>
  <c r="J104" i="5"/>
  <c r="M104" i="5"/>
  <c r="L104" i="5"/>
  <c r="L91" i="5" s="1"/>
  <c r="K104" i="5"/>
  <c r="I104" i="5"/>
  <c r="I91" i="5" s="1"/>
  <c r="H104" i="5"/>
  <c r="H91" i="5" s="1"/>
  <c r="J102" i="5"/>
  <c r="J99" i="5" s="1"/>
  <c r="J97" i="5"/>
  <c r="M79" i="5"/>
  <c r="M74" i="5" s="1"/>
  <c r="L79" i="5"/>
  <c r="K79" i="5"/>
  <c r="J79" i="5"/>
  <c r="H79" i="5"/>
  <c r="J72" i="5"/>
  <c r="J70" i="5" s="1"/>
  <c r="J69" i="5" s="1"/>
  <c r="M69" i="5"/>
  <c r="L69" i="5"/>
  <c r="I69" i="5"/>
  <c r="H69" i="5"/>
  <c r="K69" i="5"/>
  <c r="J67" i="5"/>
  <c r="J66" i="5" s="1"/>
  <c r="J64" i="5"/>
  <c r="J63" i="5" s="1"/>
  <c r="J61" i="5"/>
  <c r="J60" i="5" s="1"/>
  <c r="J56" i="5"/>
  <c r="M48" i="5"/>
  <c r="M47" i="5" s="1"/>
  <c r="L48" i="5"/>
  <c r="L47" i="5" s="1"/>
  <c r="K48" i="5"/>
  <c r="K47" i="5" s="1"/>
  <c r="J48" i="5"/>
  <c r="J47" i="5" s="1"/>
  <c r="I48" i="5"/>
  <c r="I47" i="5" s="1"/>
  <c r="H48" i="5"/>
  <c r="H47" i="5" s="1"/>
  <c r="J45" i="5"/>
  <c r="J43" i="5"/>
  <c r="J40" i="5"/>
  <c r="M40" i="5"/>
  <c r="L40" i="5"/>
  <c r="K40" i="5"/>
  <c r="I40" i="5"/>
  <c r="H40" i="5"/>
  <c r="M37" i="5"/>
  <c r="L37" i="5"/>
  <c r="K37" i="5"/>
  <c r="I37" i="5"/>
  <c r="H37" i="5"/>
  <c r="J35" i="5"/>
  <c r="M35" i="5"/>
  <c r="L35" i="5"/>
  <c r="K35" i="5"/>
  <c r="I35" i="5"/>
  <c r="H35" i="5"/>
  <c r="H33" i="5"/>
  <c r="J29" i="5"/>
  <c r="J28" i="5" s="1"/>
  <c r="J25" i="5"/>
  <c r="J23" i="5"/>
  <c r="J21" i="5"/>
  <c r="J19" i="5"/>
  <c r="M10" i="5"/>
  <c r="M9" i="5" s="1"/>
  <c r="L10" i="5"/>
  <c r="L9" i="5" s="1"/>
  <c r="K10" i="5"/>
  <c r="K9" i="5" s="1"/>
  <c r="J10" i="5"/>
  <c r="J9" i="5" s="1"/>
  <c r="I10" i="5"/>
  <c r="I9" i="5" s="1"/>
  <c r="H10" i="5"/>
  <c r="H9" i="5" s="1"/>
  <c r="K107" i="5" l="1"/>
  <c r="K106" i="5" s="1"/>
  <c r="L198" i="5"/>
  <c r="H106" i="5"/>
  <c r="L106" i="5"/>
  <c r="K198" i="5"/>
  <c r="I198" i="5"/>
  <c r="I153" i="5" s="1"/>
  <c r="I152" i="5" s="1"/>
  <c r="J218" i="5"/>
  <c r="J198" i="5" s="1"/>
  <c r="H198" i="5"/>
  <c r="M198" i="5"/>
  <c r="I106" i="5"/>
  <c r="M106" i="5"/>
  <c r="J96" i="5"/>
  <c r="J91" i="5" s="1"/>
  <c r="J155" i="5"/>
  <c r="J154" i="5"/>
  <c r="J53" i="5"/>
  <c r="J52" i="5" s="1"/>
  <c r="J51" i="5" s="1"/>
  <c r="J18" i="5"/>
  <c r="J17" i="5" s="1"/>
  <c r="K91" i="5"/>
  <c r="J76" i="5"/>
  <c r="J75" i="5" s="1"/>
  <c r="J74" i="5" s="1"/>
  <c r="M91" i="5"/>
  <c r="L27" i="5"/>
  <c r="J42" i="5"/>
  <c r="J39" i="5" s="1"/>
  <c r="L74" i="5"/>
  <c r="I79" i="5"/>
  <c r="I74" i="5" s="1"/>
  <c r="J27" i="5"/>
  <c r="K27" i="5"/>
  <c r="H27" i="5"/>
  <c r="J111" i="5"/>
  <c r="J106" i="5" s="1"/>
  <c r="K39" i="5"/>
  <c r="I143" i="5"/>
  <c r="M143" i="5"/>
  <c r="K143" i="5"/>
  <c r="H143" i="5"/>
  <c r="L143" i="5"/>
  <c r="M27" i="5"/>
  <c r="H226" i="5"/>
  <c r="J143" i="5"/>
  <c r="M39" i="5"/>
  <c r="H74" i="5"/>
  <c r="J180" i="5"/>
  <c r="J161" i="5" s="1"/>
  <c r="J226" i="5"/>
  <c r="H39" i="5"/>
  <c r="L39" i="5"/>
  <c r="K74" i="5"/>
  <c r="I39" i="5"/>
  <c r="I27" i="5"/>
  <c r="I167" i="4"/>
  <c r="I173" i="4"/>
  <c r="I172" i="4"/>
  <c r="L153" i="5" l="1"/>
  <c r="L152" i="5" s="1"/>
  <c r="M153" i="5"/>
  <c r="M152" i="5" s="1"/>
  <c r="K153" i="5"/>
  <c r="K152" i="5" s="1"/>
  <c r="L8" i="5"/>
  <c r="H153" i="5"/>
  <c r="H152" i="5" s="1"/>
  <c r="J50" i="5"/>
  <c r="L50" i="5"/>
  <c r="H8" i="5"/>
  <c r="H50" i="5"/>
  <c r="K8" i="5"/>
  <c r="M8" i="5"/>
  <c r="J8" i="5"/>
  <c r="J153" i="5"/>
  <c r="J152" i="5" s="1"/>
  <c r="I50" i="5"/>
  <c r="K50" i="5"/>
  <c r="M50" i="5"/>
  <c r="I8" i="5"/>
  <c r="I152" i="4"/>
  <c r="I159" i="4"/>
  <c r="I100" i="4"/>
  <c r="I106" i="4"/>
  <c r="H69" i="4"/>
  <c r="I69" i="4"/>
  <c r="J69" i="4"/>
  <c r="K69" i="4"/>
  <c r="L69" i="4"/>
  <c r="H64" i="4"/>
  <c r="I64" i="4"/>
  <c r="J64" i="4"/>
  <c r="K64" i="4"/>
  <c r="L64" i="4"/>
  <c r="G64" i="4"/>
  <c r="L7" i="5" l="1"/>
  <c r="H7" i="5"/>
  <c r="K7" i="5"/>
  <c r="M7" i="5"/>
  <c r="J7" i="5"/>
  <c r="I7" i="5"/>
  <c r="I44" i="4"/>
  <c r="I118" i="4"/>
  <c r="I89" i="4"/>
  <c r="I104" i="4"/>
  <c r="I98" i="4"/>
  <c r="I94" i="4"/>
  <c r="I111" i="4"/>
  <c r="I96" i="4"/>
  <c r="I78" i="4"/>
  <c r="I83" i="4"/>
  <c r="I79" i="4"/>
  <c r="I80" i="4"/>
  <c r="I81" i="4"/>
  <c r="I62" i="4"/>
  <c r="I61" i="4"/>
  <c r="I48" i="4"/>
  <c r="I46" i="4"/>
  <c r="I45" i="4"/>
  <c r="I37" i="4"/>
  <c r="I36" i="4"/>
  <c r="I34" i="4"/>
  <c r="I24" i="4"/>
  <c r="I29" i="4"/>
  <c r="I27" i="4"/>
  <c r="I18" i="4"/>
  <c r="I19" i="4"/>
  <c r="I20" i="4"/>
  <c r="I21" i="4"/>
  <c r="M6" i="5" l="1"/>
  <c r="L6" i="5"/>
  <c r="K6" i="5"/>
  <c r="J6" i="5"/>
  <c r="I6" i="5"/>
  <c r="H6" i="5"/>
  <c r="I203" i="4"/>
  <c r="I204" i="4"/>
  <c r="I205" i="4"/>
  <c r="I202" i="4"/>
  <c r="I193" i="4"/>
  <c r="I194" i="4"/>
  <c r="I195" i="4"/>
  <c r="I196" i="4"/>
  <c r="I197" i="4"/>
  <c r="I198" i="4"/>
  <c r="I191" i="4"/>
  <c r="I166" i="4"/>
  <c r="I168" i="4"/>
  <c r="I169" i="4"/>
  <c r="I170" i="4"/>
  <c r="I171" i="4"/>
  <c r="I174" i="4"/>
  <c r="I175" i="4"/>
  <c r="I176" i="4"/>
  <c r="I177" i="4"/>
  <c r="I178" i="4"/>
  <c r="I179" i="4"/>
  <c r="I181" i="4"/>
  <c r="I183" i="4"/>
  <c r="I185" i="4"/>
  <c r="I187" i="4"/>
  <c r="I189" i="4"/>
  <c r="I165" i="4"/>
  <c r="I142" i="4"/>
  <c r="I143" i="4"/>
  <c r="I144" i="4"/>
  <c r="I145" i="4"/>
  <c r="I146" i="4"/>
  <c r="I147" i="4"/>
  <c r="I148" i="4"/>
  <c r="I149" i="4"/>
  <c r="I150" i="4"/>
  <c r="I151" i="4"/>
  <c r="I153" i="4"/>
  <c r="I154" i="4"/>
  <c r="I155" i="4"/>
  <c r="I156" i="4"/>
  <c r="I157" i="4"/>
  <c r="I158" i="4"/>
  <c r="I160" i="4"/>
  <c r="I161" i="4"/>
  <c r="I162" i="4"/>
  <c r="I141" i="4"/>
  <c r="I129" i="4"/>
  <c r="I130" i="4"/>
  <c r="I131" i="4"/>
  <c r="I133" i="4"/>
  <c r="I134" i="4"/>
  <c r="I135" i="4"/>
  <c r="I136" i="4"/>
  <c r="I137" i="4"/>
  <c r="I138" i="4"/>
  <c r="I128" i="4"/>
  <c r="I127" i="4"/>
  <c r="H43" i="4"/>
  <c r="J43" i="4"/>
  <c r="K43" i="4"/>
  <c r="L43" i="4"/>
  <c r="G43" i="4"/>
  <c r="H117" i="4"/>
  <c r="I117" i="4"/>
  <c r="J117" i="4"/>
  <c r="K117" i="4"/>
  <c r="L117" i="4"/>
  <c r="G117" i="4"/>
  <c r="H91" i="4"/>
  <c r="J91" i="4"/>
  <c r="K91" i="4"/>
  <c r="L91" i="4"/>
  <c r="G91" i="4"/>
  <c r="H77" i="4"/>
  <c r="J77" i="4"/>
  <c r="K77" i="4"/>
  <c r="L77" i="4"/>
  <c r="G77" i="4"/>
  <c r="H60" i="4"/>
  <c r="I60" i="4"/>
  <c r="J60" i="4"/>
  <c r="K60" i="4"/>
  <c r="L60" i="4"/>
  <c r="G60" i="4"/>
  <c r="H95" i="4"/>
  <c r="I95" i="4"/>
  <c r="J95" i="4"/>
  <c r="K95" i="4"/>
  <c r="L95" i="4"/>
  <c r="G95" i="4"/>
  <c r="H93" i="4"/>
  <c r="I93" i="4"/>
  <c r="J93" i="4"/>
  <c r="K93" i="4"/>
  <c r="L93" i="4"/>
  <c r="G93" i="4"/>
  <c r="H10" i="4"/>
  <c r="J10" i="4"/>
  <c r="K10" i="4"/>
  <c r="L10" i="4"/>
  <c r="G10" i="4"/>
  <c r="H17" i="4"/>
  <c r="J17" i="4"/>
  <c r="K17" i="4"/>
  <c r="L17" i="4"/>
  <c r="G17" i="4"/>
  <c r="I164" i="4" l="1"/>
  <c r="H201" i="4"/>
  <c r="J201" i="4"/>
  <c r="K201" i="4"/>
  <c r="L201" i="4"/>
  <c r="G201" i="4"/>
  <c r="G69" i="4"/>
  <c r="H192" i="4"/>
  <c r="H190" i="4" s="1"/>
  <c r="J192" i="4"/>
  <c r="J190" i="4" s="1"/>
  <c r="K192" i="4"/>
  <c r="K190" i="4" s="1"/>
  <c r="L192" i="4"/>
  <c r="L190" i="4" s="1"/>
  <c r="G192" i="4"/>
  <c r="H108" i="4"/>
  <c r="J108" i="4"/>
  <c r="K108" i="4"/>
  <c r="L108" i="4"/>
  <c r="G108" i="4"/>
  <c r="J140" i="4"/>
  <c r="J126" i="4" s="1"/>
  <c r="H140" i="4"/>
  <c r="H126" i="4" s="1"/>
  <c r="K140" i="4"/>
  <c r="K126" i="4" s="1"/>
  <c r="L140" i="4"/>
  <c r="L126" i="4" s="1"/>
  <c r="G140" i="4"/>
  <c r="G126" i="4" s="1"/>
  <c r="H119" i="4"/>
  <c r="J119" i="4"/>
  <c r="K119" i="4"/>
  <c r="L119" i="4"/>
  <c r="G119" i="4"/>
  <c r="H113" i="4"/>
  <c r="I113" i="4"/>
  <c r="J113" i="4"/>
  <c r="K113" i="4"/>
  <c r="L113" i="4"/>
  <c r="G113" i="4"/>
  <c r="G190" i="4" l="1"/>
  <c r="I192" i="4"/>
  <c r="I108" i="4"/>
  <c r="H112" i="4" l="1"/>
  <c r="J112" i="4"/>
  <c r="K112" i="4"/>
  <c r="I120" i="4"/>
  <c r="I119" i="4" s="1"/>
  <c r="L112" i="4"/>
  <c r="G112" i="4"/>
  <c r="H30" i="4" l="1"/>
  <c r="I30" i="4"/>
  <c r="J30" i="4"/>
  <c r="K30" i="4"/>
  <c r="L30" i="4"/>
  <c r="H28" i="4"/>
  <c r="I28" i="4"/>
  <c r="J28" i="4"/>
  <c r="K28" i="4"/>
  <c r="L28" i="4"/>
  <c r="H26" i="4"/>
  <c r="J26" i="4"/>
  <c r="K26" i="4"/>
  <c r="L26" i="4"/>
  <c r="H23" i="4"/>
  <c r="J23" i="4"/>
  <c r="K23" i="4"/>
  <c r="L23" i="4"/>
  <c r="H9" i="4"/>
  <c r="J9" i="4"/>
  <c r="K9" i="4"/>
  <c r="L9" i="4"/>
  <c r="L22" i="4" l="1"/>
  <c r="H22" i="4"/>
  <c r="J22" i="4"/>
  <c r="K22" i="4"/>
  <c r="I112" i="4" l="1"/>
  <c r="I110" i="4"/>
  <c r="I63" i="4"/>
  <c r="I58" i="4"/>
  <c r="I54" i="4"/>
  <c r="I52" i="4"/>
  <c r="I50" i="4"/>
  <c r="I49" i="4"/>
  <c r="I43" i="4" l="1"/>
  <c r="G26" i="4"/>
  <c r="I26" i="4" s="1"/>
  <c r="G23" i="4"/>
  <c r="I17" i="4" l="1"/>
  <c r="I15" i="4"/>
  <c r="I10" i="4" s="1"/>
  <c r="H53" i="4" l="1"/>
  <c r="I53" i="4"/>
  <c r="J53" i="4"/>
  <c r="K53" i="4"/>
  <c r="L53" i="4"/>
  <c r="G53" i="4"/>
  <c r="H51" i="4"/>
  <c r="I51" i="4"/>
  <c r="I42" i="4" s="1"/>
  <c r="J51" i="4"/>
  <c r="K51" i="4"/>
  <c r="L51" i="4"/>
  <c r="G51" i="4"/>
  <c r="H88" i="4"/>
  <c r="J88" i="4"/>
  <c r="K88" i="4"/>
  <c r="L88" i="4"/>
  <c r="G88" i="4"/>
  <c r="H103" i="4"/>
  <c r="J103" i="4"/>
  <c r="K103" i="4"/>
  <c r="L103" i="4"/>
  <c r="G103" i="4"/>
  <c r="H82" i="4" l="1"/>
  <c r="I82" i="4"/>
  <c r="J82" i="4"/>
  <c r="K82" i="4"/>
  <c r="L82" i="4"/>
  <c r="G82" i="4"/>
  <c r="G13" i="3" l="1"/>
  <c r="H13" i="3"/>
  <c r="J13" i="3"/>
  <c r="K13" i="3"/>
  <c r="L13" i="3"/>
  <c r="H123" i="4" l="1"/>
  <c r="J123" i="4"/>
  <c r="K123" i="4"/>
  <c r="L123" i="4"/>
  <c r="G123" i="4"/>
  <c r="H180" i="4"/>
  <c r="J180" i="4"/>
  <c r="K180" i="4"/>
  <c r="L180" i="4"/>
  <c r="G180" i="4"/>
  <c r="I180" i="4" s="1"/>
  <c r="H182" i="4"/>
  <c r="J182" i="4"/>
  <c r="K182" i="4"/>
  <c r="L182" i="4"/>
  <c r="G182" i="4"/>
  <c r="I182" i="4" s="1"/>
  <c r="H184" i="4"/>
  <c r="J184" i="4"/>
  <c r="K184" i="4"/>
  <c r="L184" i="4"/>
  <c r="G184" i="4"/>
  <c r="I184" i="4" s="1"/>
  <c r="H186" i="4"/>
  <c r="J186" i="4"/>
  <c r="K186" i="4"/>
  <c r="L186" i="4"/>
  <c r="G186" i="4"/>
  <c r="I186" i="4" s="1"/>
  <c r="H188" i="4"/>
  <c r="J188" i="4"/>
  <c r="K188" i="4"/>
  <c r="L188" i="4"/>
  <c r="G188" i="4"/>
  <c r="I188" i="4" s="1"/>
  <c r="I125" i="4"/>
  <c r="I124" i="4"/>
  <c r="I163" i="4" l="1"/>
  <c r="I123" i="4"/>
  <c r="I201" i="4" l="1"/>
  <c r="L164" i="4"/>
  <c r="L163" i="4" s="1"/>
  <c r="K164" i="4"/>
  <c r="K163" i="4" s="1"/>
  <c r="J164" i="4"/>
  <c r="J163" i="4" s="1"/>
  <c r="H164" i="4"/>
  <c r="H163" i="4" s="1"/>
  <c r="G164" i="4"/>
  <c r="G163" i="4" s="1"/>
  <c r="I140" i="4"/>
  <c r="I126" i="4" s="1"/>
  <c r="I107" i="4"/>
  <c r="L105" i="4"/>
  <c r="K105" i="4"/>
  <c r="J105" i="4"/>
  <c r="H105" i="4"/>
  <c r="G105" i="4"/>
  <c r="I103" i="4"/>
  <c r="I102" i="4"/>
  <c r="I101" i="4" s="1"/>
  <c r="L101" i="4"/>
  <c r="K101" i="4"/>
  <c r="J101" i="4"/>
  <c r="H101" i="4"/>
  <c r="G101" i="4"/>
  <c r="I99" i="4"/>
  <c r="L99" i="4"/>
  <c r="K99" i="4"/>
  <c r="J99" i="4"/>
  <c r="H99" i="4"/>
  <c r="G99" i="4"/>
  <c r="I97" i="4"/>
  <c r="L97" i="4"/>
  <c r="K97" i="4"/>
  <c r="J97" i="4"/>
  <c r="H97" i="4"/>
  <c r="G97" i="4"/>
  <c r="I91" i="4"/>
  <c r="I90" i="4"/>
  <c r="I88" i="4" s="1"/>
  <c r="I87" i="4"/>
  <c r="L85" i="4"/>
  <c r="L84" i="4" s="1"/>
  <c r="K85" i="4"/>
  <c r="J85" i="4"/>
  <c r="H85" i="4"/>
  <c r="G85" i="4"/>
  <c r="G84" i="4" s="1"/>
  <c r="I77" i="4"/>
  <c r="L56" i="4"/>
  <c r="L55" i="4" s="1"/>
  <c r="K56" i="4"/>
  <c r="K55" i="4" s="1"/>
  <c r="J56" i="4"/>
  <c r="J55" i="4" s="1"/>
  <c r="I56" i="4"/>
  <c r="I55" i="4" s="1"/>
  <c r="H56" i="4"/>
  <c r="H55" i="4" s="1"/>
  <c r="G56" i="4"/>
  <c r="G55" i="4" s="1"/>
  <c r="J42" i="4"/>
  <c r="L39" i="4"/>
  <c r="L38" i="4" s="1"/>
  <c r="K39" i="4"/>
  <c r="K38" i="4" s="1"/>
  <c r="J39" i="4"/>
  <c r="J38" i="4" s="1"/>
  <c r="I39" i="4"/>
  <c r="I38" i="4" s="1"/>
  <c r="H39" i="4"/>
  <c r="H38" i="4" s="1"/>
  <c r="G39" i="4"/>
  <c r="G38" i="4" s="1"/>
  <c r="L35" i="4"/>
  <c r="K35" i="4"/>
  <c r="J35" i="4"/>
  <c r="I35" i="4"/>
  <c r="H35" i="4"/>
  <c r="G35" i="4"/>
  <c r="L33" i="4"/>
  <c r="K33" i="4"/>
  <c r="J33" i="4"/>
  <c r="I33" i="4"/>
  <c r="H33" i="4"/>
  <c r="G33" i="4"/>
  <c r="G30" i="4"/>
  <c r="G28" i="4"/>
  <c r="L16" i="4"/>
  <c r="K16" i="4"/>
  <c r="J16" i="4"/>
  <c r="I16" i="4"/>
  <c r="H16" i="4"/>
  <c r="G16" i="4"/>
  <c r="I9" i="4"/>
  <c r="G9" i="4"/>
  <c r="K84" i="4" l="1"/>
  <c r="J84" i="4"/>
  <c r="H84" i="4"/>
  <c r="I190" i="4"/>
  <c r="H32" i="4"/>
  <c r="H8" i="4" s="1"/>
  <c r="L32" i="4"/>
  <c r="L8" i="4" s="1"/>
  <c r="J32" i="4"/>
  <c r="J8" i="4" s="1"/>
  <c r="I32" i="4"/>
  <c r="I23" i="4"/>
  <c r="I22" i="4" s="1"/>
  <c r="K32" i="4"/>
  <c r="K8" i="4" s="1"/>
  <c r="K42" i="4"/>
  <c r="L42" i="4"/>
  <c r="H42" i="4"/>
  <c r="G63" i="4"/>
  <c r="G59" i="4" s="1"/>
  <c r="H76" i="4"/>
  <c r="I105" i="4"/>
  <c r="I85" i="4"/>
  <c r="G76" i="4"/>
  <c r="L76" i="4"/>
  <c r="G22" i="4"/>
  <c r="K76" i="4"/>
  <c r="G32" i="4"/>
  <c r="J63" i="4"/>
  <c r="J59" i="4" s="1"/>
  <c r="L63" i="4"/>
  <c r="L59" i="4" s="1"/>
  <c r="I59" i="4"/>
  <c r="G42" i="4"/>
  <c r="K63" i="4"/>
  <c r="K59" i="4" s="1"/>
  <c r="H63" i="4"/>
  <c r="H59" i="4" s="1"/>
  <c r="J76" i="4"/>
  <c r="I76" i="4"/>
  <c r="I50" i="3"/>
  <c r="I84" i="4" l="1"/>
  <c r="I41" i="4" s="1"/>
  <c r="G8" i="4"/>
  <c r="G41" i="4"/>
  <c r="I8" i="4"/>
  <c r="G122" i="4"/>
  <c r="H122" i="4"/>
  <c r="H41" i="4"/>
  <c r="H7" i="4" s="1"/>
  <c r="L41" i="4"/>
  <c r="K122" i="4"/>
  <c r="K121" i="4" s="1"/>
  <c r="L122" i="4"/>
  <c r="L121" i="4" s="1"/>
  <c r="J122" i="4"/>
  <c r="J121" i="4" s="1"/>
  <c r="K41" i="4"/>
  <c r="J41" i="4"/>
  <c r="I102" i="3"/>
  <c r="I79" i="3"/>
  <c r="J26" i="3"/>
  <c r="K7" i="4" l="1"/>
  <c r="K6" i="4" s="1"/>
  <c r="Q7" i="4" s="1"/>
  <c r="L7" i="4"/>
  <c r="L6" i="4" s="1"/>
  <c r="R7" i="4" s="1"/>
  <c r="J7" i="4"/>
  <c r="J6" i="4" s="1"/>
  <c r="P7" i="4" s="1"/>
  <c r="I7" i="4"/>
  <c r="H121" i="4"/>
  <c r="G121" i="4"/>
  <c r="G7" i="4"/>
  <c r="I122" i="4"/>
  <c r="I121" i="4" s="1"/>
  <c r="I18" i="3"/>
  <c r="I13" i="3" s="1"/>
  <c r="H6" i="4" l="1"/>
  <c r="N7" i="4" s="1"/>
  <c r="I6" i="4"/>
  <c r="O7" i="4" s="1"/>
  <c r="G6" i="4"/>
  <c r="M7" i="4" s="1"/>
  <c r="G26" i="3"/>
  <c r="H26" i="3"/>
  <c r="K26" i="3"/>
  <c r="L26" i="3"/>
  <c r="G91" i="3"/>
  <c r="G95" i="3"/>
  <c r="H97" i="3"/>
  <c r="I97" i="3"/>
  <c r="J97" i="3"/>
  <c r="K97" i="3"/>
  <c r="L97" i="3"/>
  <c r="G97" i="3"/>
  <c r="H101" i="3"/>
  <c r="H105" i="3"/>
  <c r="H142" i="3"/>
  <c r="G137" i="3"/>
  <c r="G132" i="3"/>
  <c r="G112" i="3"/>
  <c r="G108" i="3"/>
  <c r="H141" i="3"/>
  <c r="H147" i="3"/>
  <c r="I147" i="3"/>
  <c r="J147" i="3"/>
  <c r="K147" i="3"/>
  <c r="L147" i="3"/>
  <c r="G147" i="3"/>
  <c r="J142" i="3"/>
  <c r="K142" i="3"/>
  <c r="L142" i="3"/>
  <c r="H139" i="3"/>
  <c r="I139" i="3"/>
  <c r="J139" i="3"/>
  <c r="K139" i="3"/>
  <c r="L139" i="3"/>
  <c r="G139" i="3"/>
  <c r="H112" i="3"/>
  <c r="J112" i="3"/>
  <c r="K112" i="3"/>
  <c r="L112" i="3"/>
  <c r="J105" i="3"/>
  <c r="K105" i="3"/>
  <c r="L105" i="3"/>
  <c r="G105" i="3"/>
  <c r="H46" i="3"/>
  <c r="J46" i="3"/>
  <c r="K46" i="3"/>
  <c r="L46" i="3"/>
  <c r="G46" i="3"/>
  <c r="I146" i="3"/>
  <c r="G142" i="3"/>
  <c r="I145" i="3"/>
  <c r="I144" i="3"/>
  <c r="I143" i="3"/>
  <c r="H129" i="3"/>
  <c r="J129" i="3"/>
  <c r="K129" i="3"/>
  <c r="L129" i="3"/>
  <c r="G129" i="3"/>
  <c r="I131" i="3"/>
  <c r="I111" i="3"/>
  <c r="I107" i="3"/>
  <c r="I86" i="3"/>
  <c r="I75" i="3"/>
  <c r="I46" i="3"/>
  <c r="I96" i="3"/>
  <c r="I95" i="3" s="1"/>
  <c r="H95" i="3"/>
  <c r="J95" i="3"/>
  <c r="K95" i="3"/>
  <c r="L95" i="3"/>
  <c r="G84" i="3"/>
  <c r="I85" i="3"/>
  <c r="I60" i="3"/>
  <c r="H132" i="3"/>
  <c r="J132" i="3"/>
  <c r="K132" i="3"/>
  <c r="L132" i="3"/>
  <c r="I130" i="3"/>
  <c r="I127" i="3"/>
  <c r="I125" i="3"/>
  <c r="I129" i="3" l="1"/>
  <c r="I142" i="3"/>
  <c r="I121" i="3"/>
  <c r="I120" i="3" s="1"/>
  <c r="H120" i="3"/>
  <c r="J120" i="3"/>
  <c r="K120" i="3"/>
  <c r="L120" i="3"/>
  <c r="G120" i="3"/>
  <c r="I119" i="3"/>
  <c r="I117" i="3"/>
  <c r="I115" i="3"/>
  <c r="I123" i="3"/>
  <c r="I113" i="3"/>
  <c r="I112" i="3" s="1"/>
  <c r="I106" i="3"/>
  <c r="I105" i="3" s="1"/>
  <c r="I110" i="3"/>
  <c r="I138" i="3"/>
  <c r="I34" i="3"/>
  <c r="I32" i="3"/>
  <c r="I31" i="3"/>
  <c r="I26" i="3"/>
  <c r="I28" i="3"/>
  <c r="I27" i="3"/>
  <c r="I87" i="3"/>
  <c r="I133" i="3" l="1"/>
  <c r="I132" i="3" s="1"/>
  <c r="H258" i="3"/>
  <c r="J258" i="3"/>
  <c r="K258" i="3"/>
  <c r="L258" i="3"/>
  <c r="G258" i="3"/>
  <c r="I230" i="3"/>
  <c r="I229" i="3" s="1"/>
  <c r="I270" i="3"/>
  <c r="I269" i="3" s="1"/>
  <c r="I280" i="3"/>
  <c r="H276" i="3"/>
  <c r="J276" i="3"/>
  <c r="K276" i="3"/>
  <c r="L276" i="3"/>
  <c r="G276" i="3"/>
  <c r="I275" i="3"/>
  <c r="H272" i="3"/>
  <c r="J272" i="3"/>
  <c r="K272" i="3"/>
  <c r="L272" i="3"/>
  <c r="G272" i="3"/>
  <c r="I273" i="3"/>
  <c r="H269" i="3"/>
  <c r="J269" i="3"/>
  <c r="K269" i="3"/>
  <c r="L269" i="3"/>
  <c r="G269" i="3"/>
  <c r="G174" i="3"/>
  <c r="I194" i="3"/>
  <c r="I192" i="3"/>
  <c r="I172" i="3"/>
  <c r="I277" i="3"/>
  <c r="I274" i="3"/>
  <c r="I268" i="3"/>
  <c r="I267" i="3"/>
  <c r="I266" i="3"/>
  <c r="I235" i="3"/>
  <c r="I233" i="3"/>
  <c r="I232" i="3" s="1"/>
  <c r="H232" i="3"/>
  <c r="J232" i="3"/>
  <c r="K232" i="3"/>
  <c r="L232" i="3"/>
  <c r="G232" i="3"/>
  <c r="I188" i="3"/>
  <c r="I279" i="3"/>
  <c r="I265" i="3"/>
  <c r="I264" i="3"/>
  <c r="I263" i="3"/>
  <c r="I199" i="3"/>
  <c r="I261" i="3"/>
  <c r="I260" i="3"/>
  <c r="I259" i="3"/>
  <c r="J174" i="3"/>
  <c r="J156" i="3" s="1"/>
  <c r="J197" i="3"/>
  <c r="J221" i="3"/>
  <c r="G242" i="3"/>
  <c r="H229" i="3"/>
  <c r="J229" i="3"/>
  <c r="K229" i="3"/>
  <c r="L229" i="3"/>
  <c r="G229" i="3"/>
  <c r="G197" i="3"/>
  <c r="I246" i="3"/>
  <c r="I245" i="3" s="1"/>
  <c r="H245" i="3"/>
  <c r="J245" i="3"/>
  <c r="K245" i="3"/>
  <c r="L245" i="3"/>
  <c r="G245" i="3"/>
  <c r="I186" i="3"/>
  <c r="I191" i="3"/>
  <c r="I183" i="3"/>
  <c r="I190" i="3"/>
  <c r="I258" i="3" l="1"/>
  <c r="I276" i="3"/>
  <c r="I272" i="3"/>
  <c r="I178" i="3" l="1"/>
  <c r="I180" i="3"/>
  <c r="G156" i="3"/>
  <c r="I168" i="3"/>
  <c r="I170" i="3"/>
  <c r="I166" i="3"/>
  <c r="I164" i="3"/>
  <c r="H221" i="3"/>
  <c r="K221" i="3"/>
  <c r="L221" i="3"/>
  <c r="G221" i="3"/>
  <c r="I227" i="3"/>
  <c r="I225" i="3"/>
  <c r="H218" i="3"/>
  <c r="J218" i="3"/>
  <c r="K218" i="3"/>
  <c r="L218" i="3"/>
  <c r="G218" i="3"/>
  <c r="I222" i="3"/>
  <c r="I219" i="3"/>
  <c r="I218" i="3" s="1"/>
  <c r="I212" i="3"/>
  <c r="I214" i="3"/>
  <c r="I167" i="3"/>
  <c r="H239" i="3"/>
  <c r="J239" i="3"/>
  <c r="K239" i="3"/>
  <c r="L239" i="3"/>
  <c r="G239" i="3"/>
  <c r="I240" i="3"/>
  <c r="I239" i="3" s="1"/>
  <c r="H236" i="3"/>
  <c r="J236" i="3"/>
  <c r="K236" i="3"/>
  <c r="L236" i="3"/>
  <c r="G236" i="3"/>
  <c r="I237" i="3"/>
  <c r="I236" i="3" s="1"/>
  <c r="I210" i="3"/>
  <c r="I208" i="3"/>
  <c r="I206" i="3"/>
  <c r="I204" i="3"/>
  <c r="I202" i="3"/>
  <c r="I200" i="3"/>
  <c r="I254" i="3"/>
  <c r="I255" i="3"/>
  <c r="I256" i="3"/>
  <c r="I257" i="3"/>
  <c r="I253" i="3"/>
  <c r="I198" i="3"/>
  <c r="H248" i="3"/>
  <c r="J248" i="3"/>
  <c r="K248" i="3"/>
  <c r="L248" i="3"/>
  <c r="G248" i="3"/>
  <c r="I249" i="3"/>
  <c r="I248" i="3" s="1"/>
  <c r="H242" i="3"/>
  <c r="J242" i="3"/>
  <c r="K242" i="3"/>
  <c r="L242" i="3"/>
  <c r="I243" i="3"/>
  <c r="I242" i="3" s="1"/>
  <c r="I175" i="3"/>
  <c r="I162" i="3"/>
  <c r="I159" i="3"/>
  <c r="I157" i="3"/>
  <c r="H152" i="3"/>
  <c r="I152" i="3"/>
  <c r="J152" i="3"/>
  <c r="K152" i="3"/>
  <c r="L152" i="3"/>
  <c r="G152" i="3"/>
  <c r="H84" i="3"/>
  <c r="I84" i="3"/>
  <c r="J84" i="3"/>
  <c r="K84" i="3"/>
  <c r="L84" i="3"/>
  <c r="I221" i="3" l="1"/>
  <c r="L122" i="3"/>
  <c r="K122" i="3"/>
  <c r="J122" i="3"/>
  <c r="I122" i="3"/>
  <c r="H122" i="3"/>
  <c r="G122" i="3"/>
  <c r="H78" i="3" l="1"/>
  <c r="I78" i="3"/>
  <c r="J78" i="3"/>
  <c r="K78" i="3"/>
  <c r="L78" i="3"/>
  <c r="G78" i="3"/>
  <c r="H66" i="3" l="1"/>
  <c r="I66" i="3"/>
  <c r="J66" i="3"/>
  <c r="K66" i="3"/>
  <c r="L66" i="3"/>
  <c r="G66" i="3"/>
  <c r="J50" i="3"/>
  <c r="G101" i="3" l="1"/>
  <c r="I101" i="3"/>
  <c r="J101" i="3"/>
  <c r="K101" i="3"/>
  <c r="L101" i="3"/>
  <c r="H91" i="3"/>
  <c r="I91" i="3"/>
  <c r="K91" i="3"/>
  <c r="K90" i="3" s="1"/>
  <c r="L91" i="3"/>
  <c r="J91" i="3"/>
  <c r="J90" i="3" l="1"/>
  <c r="L90" i="3"/>
  <c r="H70" i="3"/>
  <c r="I70" i="3"/>
  <c r="J70" i="3"/>
  <c r="K70" i="3"/>
  <c r="L70" i="3"/>
  <c r="G70" i="3"/>
  <c r="H62" i="3" l="1"/>
  <c r="I62" i="3"/>
  <c r="J62" i="3"/>
  <c r="K62" i="3"/>
  <c r="L62" i="3"/>
  <c r="G62" i="3"/>
  <c r="G59" i="3"/>
  <c r="H59" i="3"/>
  <c r="I59" i="3"/>
  <c r="K59" i="3"/>
  <c r="L59" i="3"/>
  <c r="J59" i="3"/>
  <c r="H50" i="3"/>
  <c r="K50" i="3"/>
  <c r="L50" i="3"/>
  <c r="G50" i="3"/>
  <c r="H38" i="3"/>
  <c r="I38" i="3"/>
  <c r="J38" i="3"/>
  <c r="K38" i="3"/>
  <c r="L38" i="3"/>
  <c r="G38" i="3"/>
  <c r="H40" i="3"/>
  <c r="I40" i="3"/>
  <c r="J40" i="3"/>
  <c r="K40" i="3"/>
  <c r="L40" i="3"/>
  <c r="G40" i="3"/>
  <c r="H20" i="3"/>
  <c r="H19" i="3" s="1"/>
  <c r="I20" i="3"/>
  <c r="I19" i="3" s="1"/>
  <c r="J20" i="3"/>
  <c r="J19" i="3" s="1"/>
  <c r="K20" i="3"/>
  <c r="K19" i="3" s="1"/>
  <c r="L20" i="3"/>
  <c r="L19" i="3" s="1"/>
  <c r="G20" i="3"/>
  <c r="G19" i="3" s="1"/>
  <c r="I37" i="3" l="1"/>
  <c r="L37" i="3"/>
  <c r="K37" i="3"/>
  <c r="J37" i="3"/>
  <c r="H37" i="3"/>
  <c r="G37" i="3"/>
  <c r="L252" i="3"/>
  <c r="K252" i="3"/>
  <c r="J252" i="3"/>
  <c r="I252" i="3"/>
  <c r="H252" i="3"/>
  <c r="G252" i="3"/>
  <c r="L234" i="3"/>
  <c r="K234" i="3"/>
  <c r="J234" i="3"/>
  <c r="J196" i="3" s="1"/>
  <c r="I234" i="3"/>
  <c r="H234" i="3"/>
  <c r="G234" i="3"/>
  <c r="G196" i="3" s="1"/>
  <c r="L197" i="3"/>
  <c r="L196" i="3" s="1"/>
  <c r="K197" i="3"/>
  <c r="I197" i="3"/>
  <c r="H197" i="3"/>
  <c r="I174" i="3"/>
  <c r="I156" i="3" s="1"/>
  <c r="L174" i="3"/>
  <c r="L156" i="3" s="1"/>
  <c r="K174" i="3"/>
  <c r="K156" i="3" s="1"/>
  <c r="H174" i="3"/>
  <c r="H156" i="3" s="1"/>
  <c r="L137" i="3"/>
  <c r="K137" i="3"/>
  <c r="J137" i="3"/>
  <c r="I137" i="3"/>
  <c r="H137" i="3"/>
  <c r="I126" i="3"/>
  <c r="L126" i="3"/>
  <c r="K126" i="3"/>
  <c r="J126" i="3"/>
  <c r="H126" i="3"/>
  <c r="G126" i="3"/>
  <c r="L124" i="3"/>
  <c r="K124" i="3"/>
  <c r="J124" i="3"/>
  <c r="I124" i="3"/>
  <c r="H124" i="3"/>
  <c r="G124" i="3"/>
  <c r="L118" i="3"/>
  <c r="K118" i="3"/>
  <c r="J118" i="3"/>
  <c r="I118" i="3"/>
  <c r="H118" i="3"/>
  <c r="G118" i="3"/>
  <c r="L116" i="3"/>
  <c r="K116" i="3"/>
  <c r="J116" i="3"/>
  <c r="I116" i="3"/>
  <c r="H116" i="3"/>
  <c r="G116" i="3"/>
  <c r="L114" i="3"/>
  <c r="K114" i="3"/>
  <c r="J114" i="3"/>
  <c r="I114" i="3"/>
  <c r="H114" i="3"/>
  <c r="G114" i="3"/>
  <c r="L108" i="3"/>
  <c r="K108" i="3"/>
  <c r="J108" i="3"/>
  <c r="I108" i="3"/>
  <c r="H108" i="3"/>
  <c r="N98" i="3"/>
  <c r="I90" i="3"/>
  <c r="H90" i="3"/>
  <c r="G90" i="3"/>
  <c r="K89" i="3"/>
  <c r="I77" i="3"/>
  <c r="H77" i="3"/>
  <c r="L65" i="3"/>
  <c r="K65" i="3"/>
  <c r="I65" i="3"/>
  <c r="H65" i="3"/>
  <c r="G65" i="3"/>
  <c r="J65" i="3"/>
  <c r="M51" i="3"/>
  <c r="K49" i="3"/>
  <c r="I49" i="3"/>
  <c r="G49" i="3"/>
  <c r="L44" i="3"/>
  <c r="L43" i="3" s="1"/>
  <c r="K44" i="3"/>
  <c r="J44" i="3"/>
  <c r="J43" i="3" s="1"/>
  <c r="I44" i="3"/>
  <c r="H44" i="3"/>
  <c r="H43" i="3" s="1"/>
  <c r="G44" i="3"/>
  <c r="G43" i="3" s="1"/>
  <c r="L35" i="3"/>
  <c r="K35" i="3"/>
  <c r="J35" i="3"/>
  <c r="I35" i="3"/>
  <c r="H35" i="3"/>
  <c r="G35" i="3"/>
  <c r="L33" i="3"/>
  <c r="K33" i="3"/>
  <c r="J33" i="3"/>
  <c r="I33" i="3"/>
  <c r="H33" i="3"/>
  <c r="G33" i="3"/>
  <c r="L30" i="3"/>
  <c r="K30" i="3"/>
  <c r="J30" i="3"/>
  <c r="I30" i="3"/>
  <c r="H30" i="3"/>
  <c r="G30" i="3"/>
  <c r="L12" i="3"/>
  <c r="K12" i="3"/>
  <c r="J12" i="3"/>
  <c r="I12" i="3"/>
  <c r="H12" i="3"/>
  <c r="G12" i="3"/>
  <c r="G104" i="3" l="1"/>
  <c r="K104" i="3"/>
  <c r="I104" i="3"/>
  <c r="K196" i="3"/>
  <c r="H104" i="3"/>
  <c r="J104" i="3"/>
  <c r="P104" i="3" s="1"/>
  <c r="P101" i="3" s="1"/>
  <c r="L104" i="3"/>
  <c r="I43" i="3"/>
  <c r="K43" i="3"/>
  <c r="H196" i="3"/>
  <c r="L141" i="3"/>
  <c r="I196" i="3"/>
  <c r="H251" i="3"/>
  <c r="J141" i="3"/>
  <c r="H25" i="3"/>
  <c r="G141" i="3"/>
  <c r="J77" i="3"/>
  <c r="J69" i="3" s="1"/>
  <c r="L25" i="3"/>
  <c r="G77" i="3"/>
  <c r="G69" i="3" s="1"/>
  <c r="J25" i="3"/>
  <c r="K141" i="3"/>
  <c r="K77" i="3"/>
  <c r="K69" i="3" s="1"/>
  <c r="I89" i="3"/>
  <c r="I141" i="3"/>
  <c r="H89" i="3"/>
  <c r="J89" i="3"/>
  <c r="G251" i="3"/>
  <c r="K251" i="3"/>
  <c r="L251" i="3"/>
  <c r="J251" i="3"/>
  <c r="I251" i="3"/>
  <c r="N195" i="3"/>
  <c r="M195" i="3"/>
  <c r="O195" i="3"/>
  <c r="G89" i="3"/>
  <c r="L89" i="3"/>
  <c r="L77" i="3"/>
  <c r="L69" i="3" s="1"/>
  <c r="I69" i="3"/>
  <c r="J49" i="3"/>
  <c r="H49" i="3"/>
  <c r="L49" i="3"/>
  <c r="I25" i="3"/>
  <c r="I11" i="3" s="1"/>
  <c r="G25" i="3"/>
  <c r="K25" i="3"/>
  <c r="H69" i="3"/>
  <c r="I170" i="2"/>
  <c r="H197" i="2"/>
  <c r="G140" i="2"/>
  <c r="I143" i="2"/>
  <c r="I142" i="2"/>
  <c r="H139" i="2"/>
  <c r="H13" i="2"/>
  <c r="I105" i="2"/>
  <c r="I85" i="2"/>
  <c r="I81" i="2"/>
  <c r="I100" i="2"/>
  <c r="I103" i="2"/>
  <c r="I109" i="2"/>
  <c r="I13" i="2"/>
  <c r="J13" i="2"/>
  <c r="K13" i="2"/>
  <c r="L13" i="2"/>
  <c r="G13" i="2"/>
  <c r="I48" i="3" l="1"/>
  <c r="G48" i="3"/>
  <c r="H11" i="3"/>
  <c r="H151" i="3"/>
  <c r="H150" i="3" s="1"/>
  <c r="N151" i="3" s="1"/>
  <c r="G151" i="3"/>
  <c r="G150" i="3" s="1"/>
  <c r="M151" i="3" s="1"/>
  <c r="K48" i="3"/>
  <c r="J11" i="3"/>
  <c r="G11" i="3"/>
  <c r="L11" i="3"/>
  <c r="K11" i="3"/>
  <c r="I151" i="3"/>
  <c r="I150" i="3" s="1"/>
  <c r="K151" i="3"/>
  <c r="K150" i="3" s="1"/>
  <c r="J151" i="3"/>
  <c r="J150" i="3" s="1"/>
  <c r="L151" i="3"/>
  <c r="L150" i="3" s="1"/>
  <c r="J48" i="3"/>
  <c r="L48" i="3"/>
  <c r="H48" i="3"/>
  <c r="I28" i="2"/>
  <c r="H24" i="2"/>
  <c r="J10" i="3" l="1"/>
  <c r="I10" i="3"/>
  <c r="H10" i="3"/>
  <c r="L10" i="3"/>
  <c r="L9" i="3" s="1"/>
  <c r="K10" i="3"/>
  <c r="K9" i="3" s="1"/>
  <c r="J9" i="3"/>
  <c r="G10" i="3"/>
  <c r="J209" i="2"/>
  <c r="K209" i="2"/>
  <c r="L209" i="2"/>
  <c r="G9" i="3" l="1"/>
  <c r="H9" i="3"/>
  <c r="I9" i="3"/>
  <c r="I182" i="2"/>
  <c r="I166" i="2"/>
  <c r="H200" i="2"/>
  <c r="I200" i="2"/>
  <c r="J200" i="2"/>
  <c r="K200" i="2"/>
  <c r="L200" i="2"/>
  <c r="G200" i="2"/>
  <c r="J154" i="2"/>
  <c r="K190" i="2"/>
  <c r="L190" i="2"/>
  <c r="H183" i="2"/>
  <c r="J183" i="2"/>
  <c r="K183" i="2"/>
  <c r="L183" i="2"/>
  <c r="G183" i="2"/>
  <c r="H174" i="2"/>
  <c r="J174" i="2"/>
  <c r="K174" i="2"/>
  <c r="L174" i="2"/>
  <c r="G174" i="2"/>
  <c r="I133" i="2"/>
  <c r="L140" i="2"/>
  <c r="K140" i="2"/>
  <c r="J140" i="2"/>
  <c r="J127" i="2" s="1"/>
  <c r="L127" i="2" l="1"/>
  <c r="K127" i="2"/>
  <c r="J43" i="2" l="1"/>
  <c r="H218" i="2" l="1"/>
  <c r="J218" i="2"/>
  <c r="K218" i="2"/>
  <c r="L218" i="2"/>
  <c r="G218" i="2"/>
  <c r="I220" i="2"/>
  <c r="I215" i="2"/>
  <c r="H214" i="2"/>
  <c r="J214" i="2"/>
  <c r="K214" i="2"/>
  <c r="L214" i="2"/>
  <c r="G214" i="2"/>
  <c r="I206" i="2"/>
  <c r="I207" i="2"/>
  <c r="I208" i="2"/>
  <c r="H203" i="2"/>
  <c r="J203" i="2"/>
  <c r="K203" i="2"/>
  <c r="L203" i="2"/>
  <c r="G203" i="2"/>
  <c r="I211" i="2"/>
  <c r="I213" i="2"/>
  <c r="I210" i="2"/>
  <c r="H209" i="2"/>
  <c r="G209" i="2"/>
  <c r="I205" i="2"/>
  <c r="I204" i="2"/>
  <c r="G202" i="2" l="1"/>
  <c r="H202" i="2"/>
  <c r="K202" i="2"/>
  <c r="I203" i="2"/>
  <c r="J202" i="2"/>
  <c r="L202" i="2"/>
  <c r="I209" i="2"/>
  <c r="I202" i="2" l="1"/>
  <c r="H198" i="2"/>
  <c r="J198" i="2"/>
  <c r="K198" i="2"/>
  <c r="L198" i="2"/>
  <c r="G198" i="2"/>
  <c r="I195" i="2"/>
  <c r="I194" i="2" s="1"/>
  <c r="I193" i="2"/>
  <c r="I192" i="2" s="1"/>
  <c r="I191" i="2"/>
  <c r="I190" i="2" s="1"/>
  <c r="I189" i="2"/>
  <c r="I188" i="2" s="1"/>
  <c r="I186" i="2"/>
  <c r="I187" i="2"/>
  <c r="I184" i="2"/>
  <c r="I199" i="2"/>
  <c r="I198" i="2" s="1"/>
  <c r="I197" i="2"/>
  <c r="I196" i="2" s="1"/>
  <c r="L196" i="2"/>
  <c r="H196" i="2"/>
  <c r="J196" i="2"/>
  <c r="K196" i="2"/>
  <c r="G196" i="2"/>
  <c r="H194" i="2"/>
  <c r="J194" i="2"/>
  <c r="K194" i="2"/>
  <c r="L194" i="2"/>
  <c r="G194" i="2"/>
  <c r="H192" i="2"/>
  <c r="J192" i="2"/>
  <c r="K192" i="2"/>
  <c r="L192" i="2"/>
  <c r="G192" i="2"/>
  <c r="H190" i="2"/>
  <c r="J190" i="2"/>
  <c r="G190" i="2"/>
  <c r="H188" i="2"/>
  <c r="J188" i="2"/>
  <c r="K188" i="2"/>
  <c r="L188" i="2"/>
  <c r="G188" i="2"/>
  <c r="I176" i="2"/>
  <c r="I177" i="2"/>
  <c r="I178" i="2"/>
  <c r="I179" i="2"/>
  <c r="I180" i="2"/>
  <c r="I181" i="2"/>
  <c r="I175" i="2"/>
  <c r="I165" i="2"/>
  <c r="I167" i="2"/>
  <c r="I168" i="2"/>
  <c r="I169" i="2"/>
  <c r="I172" i="2"/>
  <c r="I173" i="2"/>
  <c r="H154" i="2"/>
  <c r="H153" i="2" s="1"/>
  <c r="K154" i="2"/>
  <c r="L154" i="2"/>
  <c r="G154" i="2"/>
  <c r="I163" i="2"/>
  <c r="I164" i="2"/>
  <c r="I160" i="2"/>
  <c r="I161" i="2"/>
  <c r="I162" i="2"/>
  <c r="I156" i="2"/>
  <c r="I158" i="2"/>
  <c r="I159" i="2"/>
  <c r="I138" i="2"/>
  <c r="H125" i="2"/>
  <c r="J125" i="2"/>
  <c r="K125" i="2"/>
  <c r="L125" i="2"/>
  <c r="G125" i="2"/>
  <c r="H140" i="2"/>
  <c r="H127" i="2" s="1"/>
  <c r="G127" i="2"/>
  <c r="I150" i="2"/>
  <c r="I146" i="2"/>
  <c r="I144" i="2"/>
  <c r="I137" i="2"/>
  <c r="I131" i="2"/>
  <c r="I130" i="2"/>
  <c r="I129" i="2"/>
  <c r="I128" i="2"/>
  <c r="I135" i="2"/>
  <c r="I134" i="2"/>
  <c r="I132" i="2"/>
  <c r="I126" i="2"/>
  <c r="I125" i="2" s="1"/>
  <c r="I42" i="2"/>
  <c r="G42" i="2"/>
  <c r="H42" i="2"/>
  <c r="J42" i="2"/>
  <c r="K42" i="2"/>
  <c r="L42" i="2"/>
  <c r="J24" i="2"/>
  <c r="K24" i="2"/>
  <c r="L24" i="2"/>
  <c r="G24" i="2"/>
  <c r="H82" i="2"/>
  <c r="H79" i="2"/>
  <c r="J79" i="2"/>
  <c r="K79" i="2"/>
  <c r="L79" i="2"/>
  <c r="G79" i="2"/>
  <c r="H73" i="2"/>
  <c r="I73" i="2"/>
  <c r="J73" i="2"/>
  <c r="K73" i="2"/>
  <c r="L73" i="2"/>
  <c r="G73" i="2"/>
  <c r="H70" i="2"/>
  <c r="I70" i="2"/>
  <c r="J70" i="2"/>
  <c r="K70" i="2"/>
  <c r="L70" i="2"/>
  <c r="G70" i="2"/>
  <c r="H65" i="2"/>
  <c r="J65" i="2"/>
  <c r="K65" i="2"/>
  <c r="L65" i="2"/>
  <c r="G65" i="2"/>
  <c r="H62" i="2"/>
  <c r="J62" i="2"/>
  <c r="K62" i="2"/>
  <c r="L62" i="2"/>
  <c r="G62" i="2"/>
  <c r="I66" i="2"/>
  <c r="I65" i="2" s="1"/>
  <c r="I62" i="2"/>
  <c r="G153" i="2" l="1"/>
  <c r="L153" i="2"/>
  <c r="K153" i="2"/>
  <c r="I183" i="2"/>
  <c r="J153" i="2"/>
  <c r="M154" i="2" s="1"/>
  <c r="I174" i="2"/>
  <c r="I69" i="2"/>
  <c r="L61" i="2"/>
  <c r="G61" i="2"/>
  <c r="K61" i="2"/>
  <c r="G69" i="2"/>
  <c r="J69" i="2"/>
  <c r="L69" i="2"/>
  <c r="H69" i="2"/>
  <c r="J61" i="2"/>
  <c r="K69" i="2"/>
  <c r="I61" i="2"/>
  <c r="H61" i="2"/>
  <c r="G35" i="2" l="1"/>
  <c r="H120" i="2" l="1"/>
  <c r="J120" i="2"/>
  <c r="K120" i="2"/>
  <c r="L120" i="2"/>
  <c r="G120" i="2"/>
  <c r="I121" i="2"/>
  <c r="H118" i="2"/>
  <c r="J118" i="2"/>
  <c r="K118" i="2"/>
  <c r="L118" i="2"/>
  <c r="G118" i="2"/>
  <c r="K91" i="2"/>
  <c r="L91" i="2"/>
  <c r="I101" i="2"/>
  <c r="G117" i="2" l="1"/>
  <c r="H117" i="2"/>
  <c r="L117" i="2"/>
  <c r="K117" i="2"/>
  <c r="J117" i="2"/>
  <c r="I80" i="2"/>
  <c r="I79" i="2" s="1"/>
  <c r="I116" i="2"/>
  <c r="I115" i="2"/>
  <c r="H114" i="2"/>
  <c r="J114" i="2"/>
  <c r="K114" i="2"/>
  <c r="L114" i="2"/>
  <c r="G114" i="2"/>
  <c r="H112" i="2"/>
  <c r="J112" i="2"/>
  <c r="K112" i="2"/>
  <c r="L112" i="2"/>
  <c r="G112" i="2"/>
  <c r="I113" i="2"/>
  <c r="I112" i="2" s="1"/>
  <c r="H108" i="2"/>
  <c r="J108" i="2"/>
  <c r="K108" i="2"/>
  <c r="L108" i="2"/>
  <c r="G108" i="2"/>
  <c r="H106" i="2"/>
  <c r="J106" i="2"/>
  <c r="K106" i="2"/>
  <c r="L106" i="2"/>
  <c r="G106" i="2"/>
  <c r="H102" i="2"/>
  <c r="I102" i="2"/>
  <c r="J102" i="2"/>
  <c r="K102" i="2"/>
  <c r="L102" i="2"/>
  <c r="G102" i="2"/>
  <c r="H99" i="2"/>
  <c r="I99" i="2"/>
  <c r="J99" i="2"/>
  <c r="K99" i="2"/>
  <c r="L99" i="2"/>
  <c r="G99" i="2"/>
  <c r="H97" i="2"/>
  <c r="J97" i="2"/>
  <c r="K97" i="2"/>
  <c r="L97" i="2"/>
  <c r="G97" i="2"/>
  <c r="H95" i="2"/>
  <c r="I95" i="2"/>
  <c r="J95" i="2"/>
  <c r="K95" i="2"/>
  <c r="L95" i="2"/>
  <c r="G95" i="2"/>
  <c r="H93" i="2"/>
  <c r="J93" i="2"/>
  <c r="K93" i="2"/>
  <c r="L93" i="2"/>
  <c r="G93" i="2"/>
  <c r="H91" i="2"/>
  <c r="J91" i="2"/>
  <c r="G91" i="2"/>
  <c r="H89" i="2"/>
  <c r="J89" i="2"/>
  <c r="K89" i="2"/>
  <c r="L89" i="2"/>
  <c r="G89" i="2"/>
  <c r="I90" i="2"/>
  <c r="I89" i="2" s="1"/>
  <c r="H86" i="2"/>
  <c r="J86" i="2"/>
  <c r="K86" i="2"/>
  <c r="L86" i="2"/>
  <c r="G86" i="2"/>
  <c r="I88" i="2"/>
  <c r="J82" i="2"/>
  <c r="K82" i="2"/>
  <c r="L82" i="2"/>
  <c r="G82" i="2"/>
  <c r="I77" i="2"/>
  <c r="I108" i="2" l="1"/>
  <c r="I114" i="2"/>
  <c r="G78" i="2"/>
  <c r="H78" i="2"/>
  <c r="I82" i="2"/>
  <c r="K78" i="2"/>
  <c r="L78" i="2"/>
  <c r="J78" i="2"/>
  <c r="P78" i="2" s="1"/>
  <c r="I26" i="2"/>
  <c r="I24" i="2" s="1"/>
  <c r="I23" i="2"/>
  <c r="I219" i="2" l="1"/>
  <c r="I218" i="2" s="1"/>
  <c r="I217" i="2"/>
  <c r="I216" i="2"/>
  <c r="I214" i="2" s="1"/>
  <c r="O154" i="2"/>
  <c r="N154" i="2"/>
  <c r="I155" i="2"/>
  <c r="I154" i="2" s="1"/>
  <c r="I153" i="2" s="1"/>
  <c r="I152" i="2"/>
  <c r="I151" i="2"/>
  <c r="I141" i="2"/>
  <c r="I122" i="2"/>
  <c r="I120" i="2" s="1"/>
  <c r="I118" i="2"/>
  <c r="I107" i="2"/>
  <c r="I106" i="2" s="1"/>
  <c r="I97" i="2"/>
  <c r="I93" i="2"/>
  <c r="I92" i="2"/>
  <c r="I91" i="2" s="1"/>
  <c r="I87" i="2"/>
  <c r="I86" i="2" s="1"/>
  <c r="P76" i="2"/>
  <c r="L76" i="2"/>
  <c r="L68" i="2" s="1"/>
  <c r="K76" i="2"/>
  <c r="K68" i="2" s="1"/>
  <c r="J76" i="2"/>
  <c r="J68" i="2" s="1"/>
  <c r="I76" i="2"/>
  <c r="I68" i="2" s="1"/>
  <c r="H76" i="2"/>
  <c r="H68" i="2" s="1"/>
  <c r="G76" i="2"/>
  <c r="G68" i="2" s="1"/>
  <c r="N74" i="2"/>
  <c r="L57" i="2"/>
  <c r="K57" i="2"/>
  <c r="J57" i="2"/>
  <c r="I57" i="2"/>
  <c r="H57" i="2"/>
  <c r="G57" i="2"/>
  <c r="G56" i="2" s="1"/>
  <c r="L52" i="2"/>
  <c r="L51" i="2" s="1"/>
  <c r="K52" i="2"/>
  <c r="K51" i="2" s="1"/>
  <c r="J52" i="2"/>
  <c r="J51" i="2" s="1"/>
  <c r="I52" i="2"/>
  <c r="I51" i="2" s="1"/>
  <c r="H52" i="2"/>
  <c r="H51" i="2" s="1"/>
  <c r="G52" i="2"/>
  <c r="G51" i="2" s="1"/>
  <c r="L49" i="2"/>
  <c r="K49" i="2"/>
  <c r="J49" i="2"/>
  <c r="I49" i="2"/>
  <c r="H49" i="2"/>
  <c r="G49" i="2"/>
  <c r="L47" i="2"/>
  <c r="K47" i="2"/>
  <c r="J47" i="2"/>
  <c r="I47" i="2"/>
  <c r="H47" i="2"/>
  <c r="G47" i="2"/>
  <c r="M43" i="2"/>
  <c r="L35" i="2"/>
  <c r="K35" i="2"/>
  <c r="J35" i="2"/>
  <c r="I35" i="2"/>
  <c r="H35" i="2"/>
  <c r="L32" i="2"/>
  <c r="K32" i="2"/>
  <c r="J32" i="2"/>
  <c r="I32" i="2"/>
  <c r="H32" i="2"/>
  <c r="G32" i="2"/>
  <c r="L29" i="2"/>
  <c r="K29" i="2"/>
  <c r="J29" i="2"/>
  <c r="I29" i="2"/>
  <c r="H29" i="2"/>
  <c r="G29" i="2"/>
  <c r="L27" i="2"/>
  <c r="K27" i="2"/>
  <c r="J27" i="2"/>
  <c r="I27" i="2"/>
  <c r="H27" i="2"/>
  <c r="G27" i="2"/>
  <c r="L20" i="2"/>
  <c r="K20" i="2"/>
  <c r="J20" i="2"/>
  <c r="I20" i="2"/>
  <c r="H20" i="2"/>
  <c r="G20" i="2"/>
  <c r="L12" i="2"/>
  <c r="K12" i="2"/>
  <c r="H12" i="2"/>
  <c r="G12" i="2"/>
  <c r="J12" i="2"/>
  <c r="I140" i="2" l="1"/>
  <c r="I127" i="2" s="1"/>
  <c r="G19" i="2"/>
  <c r="H41" i="2"/>
  <c r="I117" i="2"/>
  <c r="I41" i="2"/>
  <c r="I78" i="2"/>
  <c r="K31" i="2"/>
  <c r="H124" i="2"/>
  <c r="L124" i="2"/>
  <c r="J124" i="2"/>
  <c r="H31" i="2"/>
  <c r="J31" i="2"/>
  <c r="I56" i="2"/>
  <c r="J41" i="2"/>
  <c r="L56" i="2"/>
  <c r="J56" i="2"/>
  <c r="H56" i="2"/>
  <c r="K41" i="2"/>
  <c r="G41" i="2"/>
  <c r="I31" i="2"/>
  <c r="L31" i="2"/>
  <c r="O33" i="2" s="1"/>
  <c r="G31" i="2"/>
  <c r="I19" i="2"/>
  <c r="J19" i="2"/>
  <c r="K19" i="2"/>
  <c r="K56" i="2"/>
  <c r="G124" i="2"/>
  <c r="G123" i="2" s="1"/>
  <c r="K124" i="2"/>
  <c r="L19" i="2"/>
  <c r="L41" i="2"/>
  <c r="H19" i="2"/>
  <c r="I181" i="1"/>
  <c r="I182" i="1"/>
  <c r="I183" i="1"/>
  <c r="I184" i="1"/>
  <c r="I180" i="1"/>
  <c r="I178" i="1"/>
  <c r="I177" i="1"/>
  <c r="I168" i="1"/>
  <c r="I169" i="1"/>
  <c r="I170" i="1"/>
  <c r="I171" i="1"/>
  <c r="I172" i="1"/>
  <c r="I173" i="1"/>
  <c r="I174" i="1"/>
  <c r="I175" i="1"/>
  <c r="I167" i="1"/>
  <c r="I164" i="1"/>
  <c r="I165" i="1"/>
  <c r="I159" i="1"/>
  <c r="I160" i="1"/>
  <c r="I161" i="1"/>
  <c r="I162" i="1"/>
  <c r="I158" i="1"/>
  <c r="I155" i="1"/>
  <c r="I156" i="1"/>
  <c r="I154" i="1"/>
  <c r="I153" i="1"/>
  <c r="I73" i="1"/>
  <c r="I79" i="1"/>
  <c r="I91" i="1"/>
  <c r="I89" i="1"/>
  <c r="I88" i="1"/>
  <c r="I85" i="1"/>
  <c r="I83" i="1"/>
  <c r="I82" i="1"/>
  <c r="I81" i="1"/>
  <c r="I80" i="1"/>
  <c r="I77" i="1"/>
  <c r="I74" i="1"/>
  <c r="N68" i="1"/>
  <c r="J11" i="2" l="1"/>
  <c r="I40" i="2"/>
  <c r="H123" i="2"/>
  <c r="K11" i="2"/>
  <c r="G11" i="2"/>
  <c r="H11" i="2"/>
  <c r="H40" i="2"/>
  <c r="L11" i="2"/>
  <c r="J40" i="2"/>
  <c r="K40" i="2"/>
  <c r="L40" i="2"/>
  <c r="G40" i="2"/>
  <c r="M41" i="1"/>
  <c r="I44" i="1"/>
  <c r="G10" i="2" l="1"/>
  <c r="G9" i="2" s="1"/>
  <c r="K123" i="2"/>
  <c r="L123" i="2"/>
  <c r="J123" i="2"/>
  <c r="K10" i="2"/>
  <c r="L10" i="2"/>
  <c r="J10" i="2"/>
  <c r="H10" i="2"/>
  <c r="H9" i="2" s="1"/>
  <c r="I18" i="1"/>
  <c r="K9" i="2" l="1"/>
  <c r="N10" i="2" s="1"/>
  <c r="J9" i="2"/>
  <c r="M10" i="2" s="1"/>
  <c r="L9" i="2"/>
  <c r="O10" i="2" s="1"/>
  <c r="L159" i="1"/>
  <c r="K159" i="1"/>
  <c r="J159" i="1"/>
  <c r="L158" i="1"/>
  <c r="K158" i="1"/>
  <c r="J158" i="1"/>
  <c r="L156" i="1"/>
  <c r="L152" i="1" s="1"/>
  <c r="K156" i="1"/>
  <c r="K152" i="1" s="1"/>
  <c r="J156" i="1"/>
  <c r="J153" i="1" l="1"/>
  <c r="J152" i="1" s="1"/>
  <c r="K127" i="1"/>
  <c r="L127" i="1"/>
  <c r="J127" i="1"/>
  <c r="I146" i="1"/>
  <c r="G127" i="1"/>
  <c r="H127" i="1"/>
  <c r="I145" i="1"/>
  <c r="K59" i="1" l="1"/>
  <c r="I148" i="1" l="1"/>
  <c r="I163" i="1"/>
  <c r="I129" i="1"/>
  <c r="I130" i="1"/>
  <c r="I131" i="1"/>
  <c r="I132" i="1"/>
  <c r="I133" i="1"/>
  <c r="I134" i="1"/>
  <c r="I135" i="1"/>
  <c r="I136" i="1"/>
  <c r="I137" i="1"/>
  <c r="I138" i="1"/>
  <c r="I139" i="1"/>
  <c r="I140" i="1"/>
  <c r="I141" i="1"/>
  <c r="I142" i="1"/>
  <c r="I143" i="1"/>
  <c r="I144" i="1"/>
  <c r="I147" i="1"/>
  <c r="I149" i="1"/>
  <c r="I150" i="1"/>
  <c r="I151" i="1"/>
  <c r="I128" i="1"/>
  <c r="I125" i="1"/>
  <c r="I124" i="1"/>
  <c r="I121" i="1"/>
  <c r="I120" i="1"/>
  <c r="I116" i="1"/>
  <c r="I109" i="1"/>
  <c r="I108" i="1"/>
  <c r="I107" i="1"/>
  <c r="I105" i="1"/>
  <c r="I103" i="1"/>
  <c r="I102" i="1"/>
  <c r="I127" i="1" l="1"/>
  <c r="I106" i="1"/>
  <c r="I112" i="1"/>
  <c r="I114" i="1"/>
  <c r="I117" i="1"/>
  <c r="I119" i="1"/>
  <c r="K115" i="1"/>
  <c r="L115" i="1"/>
  <c r="J115" i="1"/>
  <c r="H115" i="1"/>
  <c r="H104" i="1" s="1"/>
  <c r="G115" i="1"/>
  <c r="G104" i="1" s="1"/>
  <c r="I115" i="1" l="1"/>
  <c r="I104" i="1" s="1"/>
  <c r="L107" i="1" l="1"/>
  <c r="L104" i="1" s="1"/>
  <c r="K107" i="1"/>
  <c r="K104" i="1" s="1"/>
  <c r="J107" i="1"/>
  <c r="J104" i="1" s="1"/>
  <c r="J96" i="1" l="1"/>
  <c r="K96" i="1"/>
  <c r="L96" i="1"/>
  <c r="I98" i="1"/>
  <c r="I97" i="1"/>
  <c r="K72" i="1"/>
  <c r="L72" i="1"/>
  <c r="J72" i="1"/>
  <c r="H92" i="1"/>
  <c r="I92" i="1"/>
  <c r="J92" i="1"/>
  <c r="K92" i="1"/>
  <c r="L92" i="1"/>
  <c r="G92" i="1"/>
  <c r="I72" i="1"/>
  <c r="I96" i="1" l="1"/>
  <c r="I95" i="1" s="1"/>
  <c r="H176" i="1"/>
  <c r="I176" i="1"/>
  <c r="J176" i="1"/>
  <c r="K176" i="1"/>
  <c r="L176" i="1"/>
  <c r="G176" i="1"/>
  <c r="H179" i="1"/>
  <c r="I179" i="1"/>
  <c r="J179" i="1"/>
  <c r="K179" i="1"/>
  <c r="L179" i="1"/>
  <c r="G179" i="1"/>
  <c r="H166" i="1"/>
  <c r="I166" i="1"/>
  <c r="J166" i="1"/>
  <c r="K166" i="1"/>
  <c r="L166" i="1"/>
  <c r="G166" i="1"/>
  <c r="G157" i="1"/>
  <c r="G152" i="1"/>
  <c r="H157" i="1"/>
  <c r="I157" i="1"/>
  <c r="J157" i="1"/>
  <c r="J126" i="1" s="1"/>
  <c r="K157" i="1"/>
  <c r="L157" i="1"/>
  <c r="L126" i="1" s="1"/>
  <c r="H152" i="1"/>
  <c r="I152" i="1"/>
  <c r="I126" i="1" l="1"/>
  <c r="G126" i="1"/>
  <c r="K126" i="1"/>
  <c r="H126" i="1"/>
  <c r="H101" i="1"/>
  <c r="I101" i="1"/>
  <c r="J101" i="1"/>
  <c r="K101" i="1"/>
  <c r="L101" i="1"/>
  <c r="G101" i="1"/>
  <c r="H96" i="1"/>
  <c r="P70" i="1"/>
  <c r="H72" i="1"/>
  <c r="G72" i="1"/>
  <c r="G13" i="1"/>
  <c r="G12" i="1" s="1"/>
  <c r="G20" i="1"/>
  <c r="G23" i="1"/>
  <c r="G25" i="1"/>
  <c r="G27" i="1"/>
  <c r="G30" i="1"/>
  <c r="G33" i="1"/>
  <c r="G40" i="1"/>
  <c r="G45" i="1"/>
  <c r="G47" i="1"/>
  <c r="G50" i="1"/>
  <c r="G49" i="1" s="1"/>
  <c r="G55" i="1"/>
  <c r="G59" i="1"/>
  <c r="H64" i="1"/>
  <c r="I64" i="1"/>
  <c r="J64" i="1"/>
  <c r="K64" i="1"/>
  <c r="L64" i="1"/>
  <c r="G64" i="1"/>
  <c r="H70" i="1"/>
  <c r="I70" i="1"/>
  <c r="J70" i="1"/>
  <c r="K70" i="1"/>
  <c r="L70" i="1"/>
  <c r="G70" i="1"/>
  <c r="H59" i="1"/>
  <c r="I59" i="1"/>
  <c r="J59" i="1"/>
  <c r="L59" i="1"/>
  <c r="H55" i="1"/>
  <c r="I55" i="1"/>
  <c r="J55" i="1"/>
  <c r="K55" i="1"/>
  <c r="L55" i="1"/>
  <c r="H50" i="1"/>
  <c r="I50" i="1"/>
  <c r="J50" i="1"/>
  <c r="K50" i="1"/>
  <c r="L50" i="1"/>
  <c r="H40" i="1"/>
  <c r="I40" i="1"/>
  <c r="J40" i="1"/>
  <c r="K40" i="1"/>
  <c r="L40" i="1"/>
  <c r="H33" i="1"/>
  <c r="I33" i="1"/>
  <c r="J33" i="1"/>
  <c r="K33" i="1"/>
  <c r="L33" i="1"/>
  <c r="H24" i="1"/>
  <c r="H20" i="1"/>
  <c r="I20" i="1"/>
  <c r="J20" i="1"/>
  <c r="K20" i="1"/>
  <c r="L20" i="1"/>
  <c r="H13" i="1"/>
  <c r="I13" i="1"/>
  <c r="J13" i="1"/>
  <c r="K13" i="1"/>
  <c r="L13" i="1"/>
  <c r="J100" i="1" l="1"/>
  <c r="J99" i="1" s="1"/>
  <c r="K63" i="1"/>
  <c r="I63" i="1"/>
  <c r="L63" i="1"/>
  <c r="H63" i="1"/>
  <c r="J63" i="1"/>
  <c r="G63" i="1"/>
  <c r="G54" i="1"/>
  <c r="G29" i="1"/>
  <c r="G39" i="1"/>
  <c r="G19" i="1"/>
  <c r="G11" i="1" l="1"/>
  <c r="H95" i="1" l="1"/>
  <c r="J95" i="1"/>
  <c r="K95" i="1"/>
  <c r="L95" i="1"/>
  <c r="G96" i="1"/>
  <c r="G95" i="1" s="1"/>
  <c r="G38" i="1" s="1"/>
  <c r="G10" i="1" s="1"/>
  <c r="H47" i="1"/>
  <c r="I47" i="1"/>
  <c r="J47" i="1"/>
  <c r="K47" i="1"/>
  <c r="L47" i="1"/>
  <c r="H100" i="1" l="1"/>
  <c r="H99" i="1" s="1"/>
  <c r="I100" i="1"/>
  <c r="I99" i="1" s="1"/>
  <c r="K100" i="1"/>
  <c r="K99" i="1" s="1"/>
  <c r="L100" i="1"/>
  <c r="L99" i="1" s="1"/>
  <c r="G100" i="1"/>
  <c r="G99" i="1" l="1"/>
  <c r="G9" i="1" s="1"/>
  <c r="H54" i="1"/>
  <c r="I54" i="1"/>
  <c r="J54" i="1"/>
  <c r="K54" i="1"/>
  <c r="L54" i="1"/>
  <c r="H49" i="1"/>
  <c r="I49" i="1"/>
  <c r="J49" i="1"/>
  <c r="K49" i="1"/>
  <c r="L49" i="1"/>
  <c r="H45" i="1"/>
  <c r="I45" i="1"/>
  <c r="J45" i="1"/>
  <c r="K45" i="1"/>
  <c r="L45" i="1"/>
  <c r="H30" i="1"/>
  <c r="I30" i="1"/>
  <c r="J30" i="1"/>
  <c r="K30" i="1"/>
  <c r="L30" i="1"/>
  <c r="H27" i="1"/>
  <c r="I27" i="1"/>
  <c r="J27" i="1"/>
  <c r="K27" i="1"/>
  <c r="L27" i="1"/>
  <c r="H25" i="1"/>
  <c r="I25" i="1"/>
  <c r="J25" i="1"/>
  <c r="K25" i="1"/>
  <c r="L25" i="1"/>
  <c r="H23" i="1"/>
  <c r="I23" i="1"/>
  <c r="J23" i="1"/>
  <c r="K23" i="1"/>
  <c r="L23" i="1"/>
  <c r="H12" i="1"/>
  <c r="I12" i="1"/>
  <c r="J12" i="1"/>
  <c r="K12" i="1"/>
  <c r="L12" i="1"/>
  <c r="I19" i="1" l="1"/>
  <c r="L19" i="1"/>
  <c r="K19" i="1"/>
  <c r="J19" i="1"/>
  <c r="H19" i="1"/>
  <c r="I29" i="1"/>
  <c r="H29" i="1"/>
  <c r="L29" i="1"/>
  <c r="K29" i="1"/>
  <c r="J29" i="1"/>
  <c r="K39" i="1"/>
  <c r="K38" i="1" s="1"/>
  <c r="I39" i="1"/>
  <c r="I38" i="1" s="1"/>
  <c r="L39" i="1"/>
  <c r="L38" i="1" s="1"/>
  <c r="J39" i="1"/>
  <c r="J38" i="1" s="1"/>
  <c r="H39" i="1"/>
  <c r="H38" i="1" s="1"/>
  <c r="H11" i="1" l="1"/>
  <c r="H10" i="1" s="1"/>
  <c r="H9" i="1" s="1"/>
  <c r="I11" i="1"/>
  <c r="I10" i="1" s="1"/>
  <c r="I9" i="1" s="1"/>
  <c r="J11" i="1"/>
  <c r="J10" i="1" s="1"/>
  <c r="J9" i="1" s="1"/>
  <c r="L11" i="1"/>
  <c r="L10" i="1" s="1"/>
  <c r="L9" i="1" s="1"/>
  <c r="O147" i="1" s="1"/>
  <c r="K11" i="1"/>
  <c r="K10" i="1" s="1"/>
  <c r="K9" i="1" s="1"/>
  <c r="I124" i="2"/>
  <c r="I123" i="2" s="1"/>
  <c r="I12" i="2" l="1"/>
  <c r="I11" i="2" s="1"/>
  <c r="I10" i="2" s="1"/>
  <c r="I9" i="2" l="1"/>
  <c r="P14" i="2"/>
</calcChain>
</file>

<file path=xl/sharedStrings.xml><?xml version="1.0" encoding="utf-8"?>
<sst xmlns="http://schemas.openxmlformats.org/spreadsheetml/2006/main" count="4206" uniqueCount="1262">
  <si>
    <t>РЕЕСТР</t>
  </si>
  <si>
    <t>Номер реестровой записи</t>
  </si>
  <si>
    <t>Наименование группы источников доходов бюджетов/ наименование источника дохода бюджета</t>
  </si>
  <si>
    <t>Классификация доходов бюджета</t>
  </si>
  <si>
    <t>Код строки</t>
  </si>
  <si>
    <t>Прогноз доходов бюджета</t>
  </si>
  <si>
    <t>код</t>
  </si>
  <si>
    <t>ДОХОДЫ БЮДЖЕТА, всего</t>
  </si>
  <si>
    <t>Налоговые и неналоговые доходы</t>
  </si>
  <si>
    <t>наименование</t>
  </si>
  <si>
    <t>НАЛОГОВЫЕ ДОХОДЫ</t>
  </si>
  <si>
    <t>Налоги на прибыль, доходы</t>
  </si>
  <si>
    <t>Налог на доходы физических лиц</t>
  </si>
  <si>
    <t>0100</t>
  </si>
  <si>
    <t>0101</t>
  </si>
  <si>
    <t>0102</t>
  </si>
  <si>
    <t>0103</t>
  </si>
  <si>
    <t>0104</t>
  </si>
  <si>
    <t>0105</t>
  </si>
  <si>
    <t>0106</t>
  </si>
  <si>
    <t>0107</t>
  </si>
  <si>
    <t>0109</t>
  </si>
  <si>
    <t>0110</t>
  </si>
  <si>
    <t>0111</t>
  </si>
  <si>
    <t>0112</t>
  </si>
  <si>
    <t>0113</t>
  </si>
  <si>
    <t>0114</t>
  </si>
  <si>
    <t>0115</t>
  </si>
  <si>
    <t>0116</t>
  </si>
  <si>
    <t>0117</t>
  </si>
  <si>
    <t>0118</t>
  </si>
  <si>
    <t>0119</t>
  </si>
  <si>
    <t>0120</t>
  </si>
  <si>
    <t>0121</t>
  </si>
  <si>
    <t>0122</t>
  </si>
  <si>
    <t>0123</t>
  </si>
  <si>
    <t>0124</t>
  </si>
  <si>
    <t>0125</t>
  </si>
  <si>
    <t>0126</t>
  </si>
  <si>
    <t>0127</t>
  </si>
  <si>
    <t>0129</t>
  </si>
  <si>
    <t>0132</t>
  </si>
  <si>
    <t>0133</t>
  </si>
  <si>
    <t>0134</t>
  </si>
  <si>
    <t>0135</t>
  </si>
  <si>
    <t>0136</t>
  </si>
  <si>
    <t>0139</t>
  </si>
  <si>
    <t>0140</t>
  </si>
  <si>
    <t>0141</t>
  </si>
  <si>
    <t>0143</t>
  </si>
  <si>
    <t>0145</t>
  </si>
  <si>
    <t>0146</t>
  </si>
  <si>
    <t>0147</t>
  </si>
  <si>
    <t>0148</t>
  </si>
  <si>
    <t>0150</t>
  </si>
  <si>
    <t>0151</t>
  </si>
  <si>
    <t>0152</t>
  </si>
  <si>
    <t>0153</t>
  </si>
  <si>
    <t>0154</t>
  </si>
  <si>
    <t>0155</t>
  </si>
  <si>
    <t>0156</t>
  </si>
  <si>
    <t>0157</t>
  </si>
  <si>
    <t>0158</t>
  </si>
  <si>
    <t>0160</t>
  </si>
  <si>
    <t>0161</t>
  </si>
  <si>
    <t>0164</t>
  </si>
  <si>
    <t>0165</t>
  </si>
  <si>
    <t>0166</t>
  </si>
  <si>
    <t>1 01 02000 01 0000 110</t>
  </si>
  <si>
    <t>Наименование главного администратора доходов бюджета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</si>
  <si>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t>
  </si>
  <si>
    <t>Управление Федеральной налоговой службы по Нижегородской области</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</si>
  <si>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</si>
  <si>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t>
  </si>
  <si>
    <t>182 1 01 02020 01 0000 110</t>
  </si>
  <si>
    <t>Налог на доходы физических лиц с доходов, полученных физическими лицами в соответствии со статьей 228 НК РФ</t>
  </si>
  <si>
    <t>182 1 01 02030 01 0000 110</t>
  </si>
  <si>
    <t>1 00 00000 00 0000 000</t>
  </si>
  <si>
    <t>1 01 00000 00 0000 000</t>
  </si>
  <si>
    <t>НАЛОГИ НА ПРИБЫЛЬ, ДОХОДЫ</t>
  </si>
  <si>
    <t>Налоги на совокупный доход</t>
  </si>
  <si>
    <t>1 05 00000 00 0000 000</t>
  </si>
  <si>
    <t>НАЛОГИ НА СОВОКУПНЫЙ ДОХОД</t>
  </si>
  <si>
    <t>Единый налог на вмененный доход для определенных видов деятельности</t>
  </si>
  <si>
    <t>182 1 05 02010 02 0000 110</t>
  </si>
  <si>
    <t>1 05 02000 02 0000 110</t>
  </si>
  <si>
    <t>Единый сельскохозяйственный налог</t>
  </si>
  <si>
    <t>1 05 03000 01 0000 110</t>
  </si>
  <si>
    <t>182 1 05 03010 01 0000 110</t>
  </si>
  <si>
    <t>Налог, взимаемый в связи с применением патентной системы налогообложения</t>
  </si>
  <si>
    <t>1 05 04000 02 0000 110</t>
  </si>
  <si>
    <t>Налог, взимаемый в связи с применением патентной системы налогообложения, зачисляемые в бюджеты муниципальных районов</t>
  </si>
  <si>
    <t>182 1 05 04020 02 0000 110</t>
  </si>
  <si>
    <t>Государственная пошлина</t>
  </si>
  <si>
    <t>ГОСУДАРСТВЕННАЯ ПОШЛИНА</t>
  </si>
  <si>
    <t>Государственная пошлина по делам, рассматриваемым в судах общей юрисдикции, мировыми судьями</t>
  </si>
  <si>
    <t>182 1 08 03010 01 0000 110</t>
  </si>
  <si>
    <t>1 08 00000 00 0000 110</t>
  </si>
  <si>
    <t>Министерство внутренних дел Российской Федерации</t>
  </si>
  <si>
    <t>188 1 08 06000 01 0000 110</t>
  </si>
  <si>
    <t>Государственная пошлина за совершение действий, связанных с приобретением гражданства РФ или выходом из гражданства РФ, а также с въездом в РФ или выездом из РФ</t>
  </si>
  <si>
    <t>Единый налог на вмененный доход для отдельных видов деятельности</t>
  </si>
  <si>
    <t>1 08 03000 01 0000 110</t>
  </si>
  <si>
    <t>Государственная пошлина за государственную регистрацию, а также за совершение прочих юридически значимых действий</t>
  </si>
  <si>
    <t>1 08 07000 01 0000 110</t>
  </si>
  <si>
    <t>Государственная пошлина за государственную регистрацию прав, ограничений (обременений) прав на недвижимое имущество и сделок с ним</t>
  </si>
  <si>
    <t>Федеральная служба государственной регистрации, кадастра и картографии</t>
  </si>
  <si>
    <t>321 1 08 07020 01 0000 110</t>
  </si>
  <si>
    <t xml:space="preserve"> Государственная пошлина за выдачу и обмен паспорта гражданина РФ</t>
  </si>
  <si>
    <t>188 1 08 07100 01 0000 110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</si>
  <si>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</si>
  <si>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188 1 08 07141 01 0000 110</t>
  </si>
  <si>
    <t>НЕНАЛОГОВЫЕ ДОХОДЫ</t>
  </si>
  <si>
    <t>Доходы от использования  имущества, находящегося в государственной и муниципальной собственности</t>
  </si>
  <si>
    <t>1 11 00000 00 0000 000</t>
  </si>
  <si>
    <t>ДОХОДЫ ОТ ИСПОЛЬЗОВАНИЯ ИМУЩЕСТВА, НАХОДЯЩЕГОСЯ В ГОСУДАРСТВЕННОЙ И МУНИЦИПАЛЬНОЙ СОБСТВЕННОСТИ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</si>
  <si>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межселенных территорий муниципальных районов, а также средства от продажи права на заключение договоров аренды указанных земельных участков</t>
  </si>
  <si>
    <t>Министерство инвестиций, земельных и имущественных отношений Нижегородской области</t>
  </si>
  <si>
    <t>366 1 11 05013 05 0000120</t>
  </si>
  <si>
    <t>Комитет по управлению экономикой администрации Большемурашкинского муниципального района Нижегородской области</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</si>
  <si>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t>
  </si>
  <si>
    <t>366 1 11 05025 05 0000 120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</si>
  <si>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</si>
  <si>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366 1 11 07015 05 0000 120</t>
  </si>
  <si>
    <t>Прочие поступления от использования имущества, находящегося в собственности муниципальных районов (за исключением имущества муниципальных  автономных учреждений, а также имущества муниципальных бюджетных и автономных предприятий, в том числе казённых)</t>
  </si>
  <si>
    <t>366 1 11 09045 05 0000 120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</si>
  <si>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</si>
  <si>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Платежи за пользование природными ресурсами</t>
  </si>
  <si>
    <t>1 12 00000 00 0000 000</t>
  </si>
  <si>
    <t>ПЛАТЕЖИ ЗА ПОЛЬЗОВАНИЕ ПРИРОДНЫМИ РЕСУРСАМИ</t>
  </si>
  <si>
    <t xml:space="preserve">Доходы, получаемые в виде арендной либы иной платы за передачу в возмездное пользование государственного и муниципального имущества </t>
  </si>
  <si>
    <t>1 11 05000 00 0000 120</t>
  </si>
  <si>
    <t>Платежи от государственных и муниципальных унитарных предприятий</t>
  </si>
  <si>
    <t>1 11 07000 00 0000 120</t>
  </si>
  <si>
    <t xml:space="preserve">Прочие поступления от использования имущества и прав, находящихся в государственной и муниципальной собственности </t>
  </si>
  <si>
    <t>1 11 09000 00 0000 120</t>
  </si>
  <si>
    <t>0168</t>
  </si>
  <si>
    <t>0169</t>
  </si>
  <si>
    <t>0170</t>
  </si>
  <si>
    <t>Плата за негативное воздействие на окружающую среду</t>
  </si>
  <si>
    <t>1 12 01000 01 0000 120</t>
  </si>
  <si>
    <t>Плата за выбросы загрязняющих веществ в атмосферный воздух стационарными объектами</t>
  </si>
  <si>
    <t>Федеральная служба по надзору в сфере природопользования</t>
  </si>
  <si>
    <t>048 1 12 01010 01 0000 120</t>
  </si>
  <si>
    <t>Плата за сбросы загрязняющих веществ в водные объекты</t>
  </si>
  <si>
    <t>Плата за размещение отходов производства и потребления</t>
  </si>
  <si>
    <t>048 1 12 01030 01 0000 120</t>
  </si>
  <si>
    <t>Доходы от оказания платных услуг (работ) и компенсации затрат государства</t>
  </si>
  <si>
    <t>ДОХОДЫ ОТ ОКАЗАНИЯ ПЛАТНЫХ УСЛУГ (РАБОТ) И КОМПЕНСАЦИИ ЗАТРАТ ГОСУДАРСТВА</t>
  </si>
  <si>
    <t>1 13 00000 00 0000 000</t>
  </si>
  <si>
    <t>Доходы от оказания платных услуг (работ)</t>
  </si>
  <si>
    <t>1 13 01000 00 0000 130</t>
  </si>
  <si>
    <t>Прочие доходы от оказания платных услуг получателями средств бюджетов муниципальных районов</t>
  </si>
  <si>
    <t>074 1 13 01995 05 0000 130</t>
  </si>
  <si>
    <t>Прочие доходы от компенсации затрат бюджетов муниципальных районов</t>
  </si>
  <si>
    <t>Доходы от компенсации затрат государства</t>
  </si>
  <si>
    <t>1 13 02000 00 0000 130</t>
  </si>
  <si>
    <t>Доходы от продажи материальных и нематериальных активов</t>
  </si>
  <si>
    <t>ДОХОДЫ ОТ ПРОДАЖИ МАТЕРИАЛЬНЫХ И НЕМАТЕРИАЛЬНЫХ АКТИВОВ</t>
  </si>
  <si>
    <t>1 14 00000 00 0000 000</t>
  </si>
  <si>
    <t>1 14 06000 00 0000 430</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</si>
  <si>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</si>
  <si>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 и которые находятся в границах межселенных территорий муниципальных районов</t>
  </si>
  <si>
    <t>366 1 14 06013 05 0000 430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</si>
  <si>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</si>
  <si>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Штрафы, санкции, возмещение ущерба</t>
  </si>
  <si>
    <t>ШТРАФЫ, САНКЦИИ, ВОЗМЕЩЕНИЕ УЩЕРБА</t>
  </si>
  <si>
    <t>1 16 00000 00 0000 000</t>
  </si>
  <si>
    <t>Комитет государственного ветеринарного надзора Нижегородской области</t>
  </si>
  <si>
    <t>Безвозмездные поступления</t>
  </si>
  <si>
    <t>2 00 00000 00 0000 000</t>
  </si>
  <si>
    <t>Безвозмездные поступления от других бюджетов бюджетной системы РФ</t>
  </si>
  <si>
    <t>2 02 00000 00 0000 000</t>
  </si>
  <si>
    <t>БЕЗВОЗМЕЗДНЫЕ ПОСТУПЛЕНИЯ ОТ ДРУГИХ БЮДЖЕТОВ БЮДЖЕТНОЙ СИСТЕМЫ РОССИЙСКОЙ ФЕДЕРАЦИИ</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</si>
  <si>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</si>
  <si>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</si>
  <si>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</si>
  <si>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</si>
  <si>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</si>
  <si>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</si>
  <si>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</si>
  <si>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</si>
  <si>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</si>
  <si>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</si>
  <si>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</si>
  <si>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</si>
  <si>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</si>
  <si>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</si>
  <si>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</si>
  <si>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</si>
  <si>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</si>
  <si>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</si>
  <si>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</si>
  <si>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</si>
  <si>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</si>
  <si>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</si>
  <si>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</si>
  <si>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</si>
  <si>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</si>
  <si>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</si>
  <si>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</si>
  <si>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</si>
  <si>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</si>
  <si>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</si>
  <si>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</si>
  <si>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</si>
  <si>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</si>
  <si>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</si>
  <si>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</si>
  <si>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</si>
  <si>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</si>
  <si>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</si>
  <si>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</si>
  <si>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</si>
  <si>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</si>
  <si>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</si>
  <si>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</si>
  <si>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</si>
  <si>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</si>
  <si>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</si>
  <si>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</si>
  <si>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</si>
  <si>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</si>
  <si>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</si>
  <si>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Субсидии бюджетам бюджетной системы РФ (межбюджетные субсидии)</t>
  </si>
  <si>
    <t>Субсидия бюджетам муниципальных районов на поддержку отрасли культуры</t>
  </si>
  <si>
    <t>Субсидии на реализацию проекта по поддержке местных инициатив</t>
  </si>
  <si>
    <t>Субвенции бюджетам бюджетной системы РФ</t>
  </si>
  <si>
    <t>Субвенция бюджетам муниципальных районов на осуществление полномочий органов государственной власти Нижегородской  области по расчету и предоставлению дотаций поселениям</t>
  </si>
  <si>
    <t>Иные межбюджетные трансферты</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</si>
  <si>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</si>
  <si>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</si>
  <si>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Возврат остатков субсидий, субвенций и иных межбюджетных трансфертов, имеющих целевое назначение, прошлых лет</t>
  </si>
  <si>
    <t>0219</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</si>
  <si>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</si>
  <si>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источников доходов бюджета</t>
  </si>
  <si>
    <t>048 1 12 01041 01 0000 120</t>
  </si>
  <si>
    <t>143 1 11 05013 13 0000 120</t>
  </si>
  <si>
    <t>Прочие неналоговые доходы</t>
  </si>
  <si>
    <t>1 17 00000 00 0000 000</t>
  </si>
  <si>
    <t>Невыясненные поступления</t>
  </si>
  <si>
    <t>Невыясненные поступления, зачисляемые в бюджеты муниципальных районов</t>
  </si>
  <si>
    <t>1 17 01000 00 0000 180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</si>
  <si>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</si>
  <si>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0130</t>
  </si>
  <si>
    <t>0131</t>
  </si>
  <si>
    <t>0159</t>
  </si>
  <si>
    <t>0162</t>
  </si>
  <si>
    <t>0167</t>
  </si>
  <si>
    <t>0220</t>
  </si>
  <si>
    <t>0221</t>
  </si>
  <si>
    <t>0222</t>
  </si>
  <si>
    <t>0223</t>
  </si>
  <si>
    <t>0224</t>
  </si>
  <si>
    <t>Субсидии бюджетам муниципальных районов на софинансирование капитальных вложений в объекты муниципальной собственности</t>
  </si>
  <si>
    <t>0225</t>
  </si>
  <si>
    <t>0226</t>
  </si>
  <si>
    <t>0227</t>
  </si>
  <si>
    <t>366 1 14 06313 05 0000 430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</si>
  <si>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</si>
  <si>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2 02 10000 00 0000 150</t>
  </si>
  <si>
    <t>001 2 02 15001 05 0000 150</t>
  </si>
  <si>
    <t>2 02 20000 00 0000 150</t>
  </si>
  <si>
    <t>001 2 02 29999 05 0000 150</t>
  </si>
  <si>
    <t>2 02 30000 00 0000 150</t>
  </si>
  <si>
    <t>001 2 02 30024 05 0000 150</t>
  </si>
  <si>
    <t>001 2 02 35118 05 0000 150</t>
  </si>
  <si>
    <t>074 2 02 30024 05 0000 150</t>
  </si>
  <si>
    <t>074 2 02 30029 05 0000 150</t>
  </si>
  <si>
    <t>082 2 02 30024 05 0000 150</t>
  </si>
  <si>
    <t>2 02 40000 00 0000 150</t>
  </si>
  <si>
    <t>001 2 02 45160 05 0000 150</t>
  </si>
  <si>
    <t>001 2 02 40014 05 0000 150</t>
  </si>
  <si>
    <t>2 19 00000 00 0000 150</t>
  </si>
  <si>
    <t>074 2 19 60010 05 0000 150</t>
  </si>
  <si>
    <t>Налог, взимаемый в связи с применением упрощенной системы налогообложения</t>
  </si>
  <si>
    <t>1 05 01000 01 0000 110</t>
  </si>
  <si>
    <t>182 1 05 01011 01 0000 110</t>
  </si>
  <si>
    <t>0108</t>
  </si>
  <si>
    <t>0128</t>
  </si>
  <si>
    <t>0142</t>
  </si>
  <si>
    <t>0149</t>
  </si>
  <si>
    <t>0163</t>
  </si>
  <si>
    <t>001 2 02 15002 05 0000 150</t>
  </si>
  <si>
    <t>Дотации на поддержку мер по обеспечению сбалансированности бюджетов муниципальных районов</t>
  </si>
  <si>
    <t>0228</t>
  </si>
  <si>
    <t>0229</t>
  </si>
  <si>
    <t>0230</t>
  </si>
  <si>
    <t>0231</t>
  </si>
  <si>
    <t>0232</t>
  </si>
  <si>
    <t>Иные межбюджетные трансферты на приобретение контейнеров и (или) бункеров</t>
  </si>
  <si>
    <t>0233</t>
  </si>
  <si>
    <t>0234</t>
  </si>
  <si>
    <t>0235</t>
  </si>
  <si>
    <t>0236</t>
  </si>
  <si>
    <t>0237</t>
  </si>
  <si>
    <t>Воскресенского муниципального района</t>
  </si>
  <si>
    <t xml:space="preserve">на 2021 год и на плановый период 2022 и 2023 годов
</t>
  </si>
  <si>
    <t xml:space="preserve">Прогноз доходов бюджета на 2020 г. (текущий финансовый год) </t>
  </si>
  <si>
    <t>Кассовые поступления в текущем финансовом году (по состоянию на 01.10. 2020 г.)</t>
  </si>
  <si>
    <t>Оценка исполнения 2020 г. (текущий финансовый год)</t>
  </si>
  <si>
    <t>на 2021 г. (очередной финансовый год)</t>
  </si>
  <si>
    <t>на 2022 г. (первый год планового периода)</t>
  </si>
  <si>
    <t>на 2023 г. (второй год планового периода)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</si>
  <si>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</si>
  <si>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</si>
  <si>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182 1 01 02050 01 0000 110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</si>
  <si>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</si>
  <si>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</si>
  <si>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</si>
  <si>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Главное управление МВД России по Нижегородской области</t>
  </si>
  <si>
    <t>487 1 08 07150 01 0000 110</t>
  </si>
  <si>
    <t>Государственная пошлина за выдачу разрешения на установку рекламной конструкции</t>
  </si>
  <si>
    <t>Администрация Воскресенского муниципального района Нижегородской области</t>
  </si>
  <si>
    <t>Комитет по управлению муниципальным имуществом Воскресенского муниципального района Нижегородской области</t>
  </si>
  <si>
    <t>366 1 11 05035 05 0000 120</t>
  </si>
  <si>
    <t>057 1 13 01995 05 0000 130</t>
  </si>
  <si>
    <t>Отдел культуры, молодежной политики и спорта администрации Воскресенского муниципального района Нижегородской области</t>
  </si>
  <si>
    <t>Управление образования администрации Воскресенского муниципального района Нижегородской области</t>
  </si>
  <si>
    <t>487  1 13 01995 05 0000 130</t>
  </si>
  <si>
    <t>057 1 13 02065 05 0000 130</t>
  </si>
  <si>
    <t>Доходы, поступающие в порядке возмещения расходов, понесенных в связи с эксплуатацией имущества муниципальных районов</t>
  </si>
  <si>
    <t>487 1 13 02065 05 0000 130</t>
  </si>
  <si>
    <t>487 1 13 02995 05 0000 130</t>
  </si>
  <si>
    <t>366 1 14 06013 13 0000 430</t>
  </si>
  <si>
    <t>366 1 14 06025 05 0000 430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</si>
  <si>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</si>
  <si>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</si>
  <si>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</si>
  <si>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366 1 14 06313 13 0000 430</t>
  </si>
  <si>
    <t>366 1 14 13050 05 0000 410</t>
  </si>
  <si>
    <t>1 14 13000 00 0000 430</t>
  </si>
  <si>
    <t>Доходы от приватизации имущества, находящегося в государственной и муниципальной собственности</t>
  </si>
  <si>
    <t xml:space="preserve"> 076 1 16 10123 01 0000 140</t>
  </si>
  <si>
    <t>Федеральное агентство по рыболовству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</si>
  <si>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t>
  </si>
  <si>
    <t>Федеральная служба по ветеринарному и фитосанитарному надзору</t>
  </si>
  <si>
    <t>081 1 16 101123 01 0000 140</t>
  </si>
  <si>
    <t>150 1 16 01053 01 0000 140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</si>
  <si>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</si>
  <si>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Министерство социальной политики Нижегордской области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</si>
  <si>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</si>
  <si>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150 1 16 01063 01 0000 140</t>
  </si>
  <si>
    <t>150 1 16 01073 01 0000 140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</si>
  <si>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</si>
  <si>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150 1 16 01203 01 0000 140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</si>
  <si>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</si>
  <si>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182 1 16 10129 01 0000 140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</si>
  <si>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до 1 января 2020 года</t>
  </si>
  <si>
    <t>188 1 16 01141 01 0000 140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</si>
  <si>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</si>
  <si>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188 1 16 10123 01 0000 140</t>
  </si>
  <si>
    <t>218 1 16 01053 01 0000 140</t>
  </si>
  <si>
    <t>Управление по обеспечению деятельности мировых судей, адвокатуры и нотариата Нижегородской области</t>
  </si>
  <si>
    <t>218 1 16 01073 01 0000 140</t>
  </si>
  <si>
    <t>218 1 16 01143 01 0000 140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</si>
  <si>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</si>
  <si>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</si>
  <si>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</si>
  <si>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</si>
  <si>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</si>
  <si>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218 1 16 01203 01 0000 140</t>
  </si>
  <si>
    <t>321 1 16 01123 01 0000 140</t>
  </si>
  <si>
    <t>Управление Федеральной службы государственной регистрации, кадастра и картографии по Нижегородской области</t>
  </si>
  <si>
    <t>487 1 16 07090 05 0000 140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</si>
  <si>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</si>
  <si>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487 1 16 10123 01 0000 140</t>
  </si>
  <si>
    <t>881 1 16 10123 05 0000 140</t>
  </si>
  <si>
    <t>366 1 17 01050 05 0000 180</t>
  </si>
  <si>
    <t>367 1 17 01050 05 0000 180</t>
  </si>
  <si>
    <t>Прочие неналоговые доходы бюджетов муниципальных районов</t>
  </si>
  <si>
    <t>Управление финансов администрации Воскресенского муниципального района Нижегородской области</t>
  </si>
  <si>
    <t>Субсидии на выплату заработной платы с начислениями на нее работникам муниципальных учреждений и органов местного самоуправления</t>
  </si>
  <si>
    <t>Субсидии на финансовое обеспечение мероприятий, связанных с предотвращением влияния ухудшения экономической ситуации из-за распространения коронавирусной инфекции (COVID-19) на деятельность траспортных предприятий</t>
  </si>
  <si>
    <t>057 2 02 25467 05 0000 150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</si>
  <si>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</si>
  <si>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057 2 02 25519 05 0000 150</t>
  </si>
  <si>
    <t>074 2 02 25304 05 0000 150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</si>
  <si>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</si>
  <si>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133 2 02 20077 05 0000 150</t>
  </si>
  <si>
    <t>Отдел капитального строительства и архитектуры администрации Воскресенского муниципального района Нижегородской области</t>
  </si>
  <si>
    <t>133 2 02 20216 05 0000 150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</si>
  <si>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</si>
  <si>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133 2 02 25497 05 0000 150</t>
  </si>
  <si>
    <t>Субсидии бюджетам муниципальных районов на реализацию мероприятий по обеспечению жильем молодых семей</t>
  </si>
  <si>
    <t>133 2 02 25555 05 0000 150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</si>
  <si>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</si>
  <si>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на предоставление социальных выплат на возмещение части процентной ставки по кредитам, полученным гражданами на газификацию жилья в российских кредитных организациях</t>
  </si>
  <si>
    <t>133 2 02 29999 05 0000 150</t>
  </si>
  <si>
    <t>Субсидии на реализацию мероприятий по обустройству и восстановлению памятных мест, посвященных Великой Отечественной войне 1941-1945 гг.</t>
  </si>
  <si>
    <t>Субсидии на капремонт образовательных организаций, реализующих общеобразовательные программы НО</t>
  </si>
  <si>
    <t>487 2 02 29999 05 0000 150</t>
  </si>
  <si>
    <t>Субсидии на создание (обустройство) контейнерных площадок</t>
  </si>
  <si>
    <t>Субсидии на оказание частичной финансовой поддержки районных (городских) средств массовой информации</t>
  </si>
  <si>
    <t>Субсидии на обеспечение доступа к системе элетронного документооборота</t>
  </si>
  <si>
    <t>Субвенции на обеспечение поселений, входящих в состав муниципальных районов Нижегородской области, субвенциями на осуществление государственных полномочий Российской Федерации по первичному воинскому учету на территориях, где отсутствуют военные комиссариаты</t>
  </si>
  <si>
    <t>Субвенции на исполнение полномочий в сфере общего образования в муниципальных дошкольных образовательных организациях</t>
  </si>
  <si>
    <t>Субвенции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</si>
  <si>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Субвенции на осуществление полномочий по организации и осуществлению деятельности по опеке и попечительству в отношении несовершеннолетних граждан</t>
  </si>
  <si>
    <t>Субвенции на исполнение полномочий в сфере общего образования в муниципальных общеобразовательных организациях</t>
  </si>
  <si>
    <t>Субвенции на осуществление выплат на возмещение части расходов по приобретению путевок в детские санатории, санаторно-оздоровительные центры (лагеря) круглогодичного действия и иные организации, осуществляющие санаторно-курортноелечение детей в соответствии с имеющейся лицензией, иные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</si>
  <si>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Субвенция на исп.полномочий по фин.орбеспечению осущ.ухода за детьми инвалидами, и детьми с туберкулезной итоксикацией</t>
  </si>
  <si>
    <t>Субвенция на исп.полномочий по финансовому обеспечению 2х раз.беспл.питанием обучающихся с огранич.возм.</t>
  </si>
  <si>
    <t>Субвенция на исполнение полномочий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</si>
  <si>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том числе обеспечение организации выплаты компенсации части родительской платы</t>
  </si>
  <si>
    <t>074 2 02 35303 05 0000 150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</si>
  <si>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</si>
  <si>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Расходы на возмещение части затрат,связанных с производством, реализацией и (или) отгрузкой на собственную переработку товарного поголовья коров специализированных мясных пород по ставке на 1 голову</t>
  </si>
  <si>
    <t>Управление сельского хозяйства администрации Воскресенского муниципального района Нижегородской области</t>
  </si>
  <si>
    <t>Субвенции на осуществление полномочий по поддержке сельскохозяйственного производства</t>
  </si>
  <si>
    <t>Субвенции на возмещение части процентной ставки по долгосрочным, среднесрочным и краткосрочным кредитам, взятым малыми формами хозяйствования</t>
  </si>
  <si>
    <t xml:space="preserve">Субвенции на поддержку племенного животноводства </t>
  </si>
  <si>
    <t xml:space="preserve">субвенции на возмещение части затрат на приобретение элитных семян </t>
  </si>
  <si>
    <t>Субвенции на осуществление полномочий по организации проведения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в части отлова и содержания безнадзорных животных</t>
  </si>
  <si>
    <t>Субвенции на возмещение части затрат на поддержку собственного производства молока</t>
  </si>
  <si>
    <t xml:space="preserve"> 2 02 30024 05 0000 150</t>
  </si>
  <si>
    <t>Субвенции бюджетам муниципальных районов на стимулирование развития приоритетных подотраслей агропромышленного комплекса и развитие малых форм хозяйствования</t>
  </si>
  <si>
    <t>2 02 35502 05 0000 150</t>
  </si>
  <si>
    <t>Субвенции бюджетам муниципальных районов на выполнение передаваемых полномочий субъектов Российской Федерации</t>
  </si>
  <si>
    <t>082 2 02 35502 05 0000 150</t>
  </si>
  <si>
    <t>Субвенции на производство и переработку с/х культур по ставке на 1 гектар</t>
  </si>
  <si>
    <t>Субвенции на возмещение части затрат сельскохозяйственных товароприхводителей на 1 килограмм реализованного и (или) отгруженного на собственную переработку молока за счет средств федерального бюджета</t>
  </si>
  <si>
    <t>2 02 35508 05 0000 150</t>
  </si>
  <si>
    <t>Субвенции на возмещение части затрат на приобретение элитных семян</t>
  </si>
  <si>
    <t>082 2 02 35508 05 0000 150</t>
  </si>
  <si>
    <t>133 2 02 30024 05 0000 150</t>
  </si>
  <si>
    <t>Субвенция на осущ.полномочий в части обеспечения безопасости сибиреязвенных скотомогильников</t>
  </si>
  <si>
    <t>0238</t>
  </si>
  <si>
    <t>0239</t>
  </si>
  <si>
    <t>0240</t>
  </si>
  <si>
    <t>0241</t>
  </si>
  <si>
    <t>0242</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</si>
  <si>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</si>
  <si>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133 2 02 35082 05 0000 150</t>
  </si>
  <si>
    <t>487 2 02 30024 05 0000 150</t>
  </si>
  <si>
    <t>Субвенция на осуществление полномочий по рган. и осущ.деятельности по опеке и попечительству СОВЕРШЕННОЛЕТНИХ граждан</t>
  </si>
  <si>
    <t>Субвенция на осуществление полномочий по созданию административных комиссий в Нижегородской области и на осуществление отдельных полномочий в области законодательства об административных правонарушениях</t>
  </si>
  <si>
    <t>Субвенции на осуществление полномочий по созданию и организации деятельности муниципальных комиссий по делам несовершеннолетних и защите их прав</t>
  </si>
  <si>
    <t xml:space="preserve">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</si>
  <si>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133 2 02 35134 05 0000 150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</si>
  <si>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</si>
  <si>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487 2 02 35120 05 0000 150</t>
  </si>
  <si>
    <t>0243</t>
  </si>
  <si>
    <t>0244</t>
  </si>
  <si>
    <t>057 2 02 40014 05 0000 150</t>
  </si>
  <si>
    <t>074 2 02 45160 05 0000 150</t>
  </si>
  <si>
    <t>133 2 02 40014 05 0000 150</t>
  </si>
  <si>
    <t>0245</t>
  </si>
  <si>
    <t>366 2 02 40014 05 0000 150</t>
  </si>
  <si>
    <t>487 2 02 40014 05 0000 150</t>
  </si>
  <si>
    <t>0246</t>
  </si>
  <si>
    <t>0247</t>
  </si>
  <si>
    <t>487 2 02 45160 05 0000 150</t>
  </si>
  <si>
    <t>133 2 02 49999 05 0000 150</t>
  </si>
  <si>
    <t>487 2 19 60010 05 0000 150</t>
  </si>
  <si>
    <t>487 2 19 45160 05 0000 150</t>
  </si>
  <si>
    <t>487 2 19 25064 05 0000 150</t>
  </si>
  <si>
    <t>487 2 19 25527 05 0000 150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</si>
  <si>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районов</t>
  </si>
  <si>
    <t>Возврат остатков субсидий на государственную поддержку малого и среднего предпринимательства из бюджетов муниципальных районов</t>
  </si>
  <si>
    <t>0248</t>
  </si>
  <si>
    <t>0249</t>
  </si>
  <si>
    <t>0250</t>
  </si>
  <si>
    <t>2 07 00000 00 0000 150</t>
  </si>
  <si>
    <t>ПРОЧИЕ БЕЗВОЗМЕЗДНЫЕ ПОСТУПЛЕНИЯ</t>
  </si>
  <si>
    <t>Прочие безвозмездные поступления в бюджеты муниципальных районов</t>
  </si>
  <si>
    <t>074 2 07 05030 05 0000 150</t>
  </si>
  <si>
    <t>487 2 07 05030 05 0000 150</t>
  </si>
  <si>
    <t>0251</t>
  </si>
  <si>
    <t>0252</t>
  </si>
  <si>
    <t>0253</t>
  </si>
  <si>
    <t>0254</t>
  </si>
  <si>
    <t>Прочие поступления от денежных взысканий (штрафов) и иных сумм в возмещение ущерба</t>
  </si>
  <si>
    <t>1 16 90000 00 0000 140</t>
  </si>
  <si>
    <t>188 1 16 90050 05 0000 140</t>
  </si>
  <si>
    <t>Прочие поступления от денежных взысканий (штрафов) и иных сумм в возмещение ущерба, зачисляемые в бюджеты муниципальных районов</t>
  </si>
  <si>
    <t>0255</t>
  </si>
  <si>
    <t>0256</t>
  </si>
  <si>
    <t>0257</t>
  </si>
  <si>
    <t>0258</t>
  </si>
  <si>
    <t>0259</t>
  </si>
  <si>
    <t>0260</t>
  </si>
  <si>
    <t>0261</t>
  </si>
  <si>
    <t>0262</t>
  </si>
  <si>
    <t>0263</t>
  </si>
  <si>
    <t>0264</t>
  </si>
  <si>
    <t>0265</t>
  </si>
  <si>
    <t>0266</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</si>
  <si>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</si>
  <si>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487 1 16 90050 05 6000 140</t>
  </si>
  <si>
    <t xml:space="preserve">Субсидии на осуществление социальных выплат молодым семьям на приобретение жилья или строительство индивидуального жилого дома </t>
  </si>
  <si>
    <t>2 02 29999 05 0000 150</t>
  </si>
  <si>
    <t xml:space="preserve">Прочие субсидии </t>
  </si>
  <si>
    <t xml:space="preserve">Субсидии бюджетам муниципальных районов на обеспечение мероприятий по переселению граждан из аварийного жилищного фонда </t>
  </si>
  <si>
    <t>133 2 02 20302 05 0000 150</t>
  </si>
  <si>
    <t>133 2 02 25097 05 0000 150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</si>
  <si>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</si>
  <si>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Субсидии на реализацию мероприятий в рамках адресной инвестиционной программы</t>
  </si>
  <si>
    <t>Субвенции на проведение ремонта жилых помещений, собственниками которых являются дети-сироты и дети, оставшиеся без попечения 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</si>
  <si>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0267</t>
  </si>
  <si>
    <t>0268</t>
  </si>
  <si>
    <t>83 2 02 30024 05 0000 150</t>
  </si>
  <si>
    <t xml:space="preserve">Субвенции на возмещение части затрат на приобретение оборудования и техники </t>
  </si>
  <si>
    <t>0269</t>
  </si>
  <si>
    <t>83 2 02 35502 05 0000 150</t>
  </si>
  <si>
    <t>факт на 01.11.</t>
  </si>
  <si>
    <t xml:space="preserve">на 2022 год и на плановый период 2023 и 2024 годов
</t>
  </si>
  <si>
    <t xml:space="preserve">Прогноз доходов бюджета на 2021 г. (текущий финансовый год) </t>
  </si>
  <si>
    <t>182 1 05 01050 01 0000 110</t>
  </si>
  <si>
    <t>Минимальный налог, зачисляемый в бюджеты субъектов Российской Федерации (за налоговые периоды, истекшие до 1 января 2016 года) (пени по соответствующему платежу)</t>
  </si>
  <si>
    <t>182 1 05 02020 02 0000 110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</si>
  <si>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</si>
  <si>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366 1 11 05013 00 0000120</t>
  </si>
  <si>
    <t>143 1 11 05013 00 0000 120</t>
  </si>
  <si>
    <t>057 1 13 02995 05 0000 130</t>
  </si>
  <si>
    <t>218 1 16 01063 01 0000 140</t>
  </si>
  <si>
    <t>487 1 16 01063 01 0000 140</t>
  </si>
  <si>
    <t>1 16 01053 00 0000 140</t>
  </si>
  <si>
    <t>1 16 01063 00 0000 140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</si>
  <si>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</si>
  <si>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1 16 01073 00 0000 140</t>
  </si>
  <si>
    <t>218 1 16 01123 01 0000 140</t>
  </si>
  <si>
    <t>1 16 01123 00 0000 140</t>
  </si>
  <si>
    <t>218 1 16 01133 01 0000 140</t>
  </si>
  <si>
    <t>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</si>
  <si>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</si>
  <si>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1 16 01143 01 0000 140</t>
  </si>
  <si>
    <t>1 16 01053 01 0000 140</t>
  </si>
  <si>
    <t>1 16 01073 01 0000 140</t>
  </si>
  <si>
    <t>1 16 01193 01 0000 140</t>
  </si>
  <si>
    <t>487 1 16 01193 01 0000 140</t>
  </si>
  <si>
    <t>487 1 16 01203 01 0000 140</t>
  </si>
  <si>
    <t>1 16 01203 00 0000 140</t>
  </si>
  <si>
    <t>057 1 16 07090 05 0000 140</t>
  </si>
  <si>
    <t>1 16 07090 00 0000 140</t>
  </si>
  <si>
    <t xml:space="preserve"> 1 16 10123 01 0000 140</t>
  </si>
  <si>
    <t>056 1 16 10123 01 0000 140</t>
  </si>
  <si>
    <t>Министерство здравоохранения Российской Федерации</t>
  </si>
  <si>
    <t>188 1 16 10123 05 0000 140</t>
  </si>
  <si>
    <t>487 1 16 10123 05 0000 140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</si>
  <si>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</si>
  <si>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1 16 10129 01 0000 140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</si>
  <si>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</si>
  <si>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1 16 11050 01 0000 140</t>
  </si>
  <si>
    <t>056 1 16 11050 01 0000 140</t>
  </si>
  <si>
    <t>076 1 16 11050 01 0000 140</t>
  </si>
  <si>
    <t>057 1 17 01050 05 0000 180</t>
  </si>
  <si>
    <t>1 17 05000 00 0000 180</t>
  </si>
  <si>
    <t xml:space="preserve">Прочие неналоговые доходы </t>
  </si>
  <si>
    <t>366 1 17 05050 05 0000 180</t>
  </si>
  <si>
    <t>074 1 17 05050 05 0000 180</t>
  </si>
  <si>
    <t>письмо Отд. Культ</t>
  </si>
  <si>
    <t>письмо адм</t>
  </si>
  <si>
    <t>Оценка исполнения 2021 г. (текущий финансовый год)</t>
  </si>
  <si>
    <t>на 2022 г. (очередной финансовый год)</t>
  </si>
  <si>
    <t>на 2023 г. (первый год планового периода)</t>
  </si>
  <si>
    <t>на 2024 г. (второй год планового периода)</t>
  </si>
  <si>
    <t>1 13 02065 00 0000 130</t>
  </si>
  <si>
    <t>1 13 02995 00 0000 130</t>
  </si>
  <si>
    <t xml:space="preserve">Прочие доходы от компенсации затрат </t>
  </si>
  <si>
    <t>Доходы, поступающие в порядке возмещения расходов, понесенных в связи с эксплуатацией имущества</t>
  </si>
  <si>
    <t>1 14 06013 00 0000 430</t>
  </si>
  <si>
    <t>Доходы от продажи земельных участков, государственная собственность на которые не разграничена</t>
  </si>
  <si>
    <t>1 14 06313 00 0000 430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</si>
  <si>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</si>
  <si>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за счет средств областного бюджета</t>
  </si>
  <si>
    <t>133 2 02 20299 05 0000 150</t>
  </si>
  <si>
    <t>074 2 02 25097 05 0000 150</t>
  </si>
  <si>
    <t>074 2 02 29999 05 0000 150</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</si>
  <si>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организациях НО</t>
  </si>
  <si>
    <t>Субсидии на реализацию проекта инициативного бюджетирования "Вам решать!"</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</si>
  <si>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обласстного бюджета</t>
  </si>
  <si>
    <t>Субвенции на проведение ремонта жилых помещений, собственниками которых являются дети-строты и дети, оставшиеся без попечения родителей, а также лица из числа детей сирот и детей, оставшихся без попечения родителей, либо жилых помещений государственного жилищного фонда,  право пользования которыми за ними сохранено</t>
  </si>
  <si>
    <t>производство и переработка с/х культур по ставке на 1 гектар</t>
  </si>
  <si>
    <t>Субвенции на возмещение части процентной ставки по долгосрочным, среднесрочным и краткосрочным кредитам, взятым малыми формами хозяйствования, за счет средств областного бюджета</t>
  </si>
  <si>
    <t>Субвенции на поддержку племенного животноводства за счет средств областного бюджета</t>
  </si>
  <si>
    <t>2 02 35082 00 0000 150</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</si>
  <si>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федерального бюджета</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</si>
  <si>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за счет средств федерального бюджета</t>
  </si>
  <si>
    <t>133 2 02 35135 05 0000 150</t>
  </si>
  <si>
    <t>2 02 35135 05 0000 150</t>
  </si>
  <si>
    <t>2 02 30029 05 0000 150</t>
  </si>
  <si>
    <t>2 02 35303 05 0000 150</t>
  </si>
  <si>
    <t>2 02 35118 05 0000 150</t>
  </si>
  <si>
    <t>2 02 35120 05 0000 150</t>
  </si>
  <si>
    <t>2 02 45160 00 0000 150</t>
  </si>
  <si>
    <t>2 02 40014 00 0000 150</t>
  </si>
  <si>
    <t>057 2 07 05030 05 0000 150</t>
  </si>
  <si>
    <t xml:space="preserve">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 </t>
  </si>
  <si>
    <t>Субсидии на капитальный ремонт образовательных организаций Нижегородской области</t>
  </si>
  <si>
    <t xml:space="preserve">Субсидии на создание (обустройство) контейнерных площадок </t>
  </si>
  <si>
    <t>Субсидии на приобретение автобусов для муниципальных учреждений физической культуры и спорта</t>
  </si>
  <si>
    <t xml:space="preserve">Субсидии на содержание объектов благоустройства и общественных территорий </t>
  </si>
  <si>
    <t>Субвенции на осуществление полномочий по организации мероприятий при осуществлении деятельности по обращению с животными в части отлова исодержания животных без владельцев</t>
  </si>
  <si>
    <t>Субвенции бюджетам муниципальных районов на обеспечение прироста сельскохозяйственной продукции собственного производства в рамках приоритетных подотраслей агромпромышленного комплекса</t>
  </si>
  <si>
    <t>Субвенции на возмещение части затрат на поддержку элитного семеноводства</t>
  </si>
  <si>
    <t>Субвенции на возмещение производителям зерновых культур части затрат на производство и реализацию зерновых культур</t>
  </si>
  <si>
    <t>Субвенции на возмещение части затрат на приобретение оборудования и техники</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</si>
  <si>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</si>
  <si>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2 02 39980 05 0000 150</t>
  </si>
  <si>
    <t>Едина субвенция</t>
  </si>
  <si>
    <t>001 2 02 39980 05 0000 150</t>
  </si>
  <si>
    <t>Субвенции на исполнение полномочий по дополнительному финансовому обеспечению мероприятий по организации двухразового бесплатного питания обучающихся с ограниченными возможностями здоровья, не проживающих в муниципальных организациях, осуществляющих образовательную деятельность по адаптированным основным общеобразовательным программам, в части финансирования стоимости наборов продуктов для организации питания</t>
  </si>
  <si>
    <t>133 2 02 45160 05 0000 150</t>
  </si>
  <si>
    <t>Иные межбюджетные трансферты на предоставление социальных выплат на возмещение части процентной ставки по кредитам, полученным гражданами на газификацию жилья в российских кредитных организациях</t>
  </si>
  <si>
    <t>0137</t>
  </si>
  <si>
    <t>0138</t>
  </si>
  <si>
    <t>0144</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</si>
  <si>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</si>
  <si>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</si>
  <si>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</si>
  <si>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</si>
  <si>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</si>
  <si>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</si>
  <si>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</si>
  <si>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</si>
  <si>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</si>
  <si>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</si>
  <si>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</si>
  <si>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</si>
  <si>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</si>
  <si>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</si>
  <si>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</si>
  <si>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</si>
  <si>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</si>
  <si>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</si>
  <si>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</si>
  <si>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</si>
  <si>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</si>
  <si>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</si>
  <si>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</si>
  <si>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</si>
  <si>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</si>
  <si>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</si>
  <si>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</si>
  <si>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</si>
  <si>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</si>
  <si>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</si>
  <si>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</si>
  <si>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</si>
  <si>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</si>
  <si>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</si>
  <si>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</si>
  <si>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</si>
  <si>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</si>
  <si>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</si>
  <si>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182 1 01 02080 01 0000 110</t>
  </si>
  <si>
    <t>Налог на доходы физических лиц части суммы налога, превышающей 650 000 рублей, относящейся к части налоговой базы, превышающей 5 000 000 рублей</t>
  </si>
  <si>
    <t>487 1 16 01053 01 0000 140</t>
  </si>
  <si>
    <t>Субсидия на реализацию полномочий органов местного самоуправления по решению вопросов местного значения</t>
  </si>
  <si>
    <t>Субсидии на оплату труда отдельным категориям работников муниципальных учреждений и органов местного самоуправления</t>
  </si>
  <si>
    <t>Кассовые поступления в текущем финансовом году (по состоянию на 01.11.2021 г.)</t>
  </si>
  <si>
    <t xml:space="preserve">на 2023 год и на плановый период 2024 и 2025 годов
</t>
  </si>
  <si>
    <t xml:space="preserve">Прогноз доходов бюджета на 2022 г. (текущий финансовый год) </t>
  </si>
  <si>
    <t>Оценка исполнения 2022 г. (текущий финансовый год)</t>
  </si>
  <si>
    <t>на 2023 г. (очередной финансовый год)</t>
  </si>
  <si>
    <t>на 2024 г. (первый год планового периода)</t>
  </si>
  <si>
    <t>на 2025 г. (второй год планового периода)</t>
  </si>
  <si>
    <t>Акцизы по подакцизным товарам (продукции), производимым на территории Российской Федерации</t>
  </si>
  <si>
    <t>1 03 02000 01 0000 110</t>
  </si>
  <si>
    <t>Налоги на товары (работы, услуги), реализуемые на территории Российской Федерации</t>
  </si>
  <si>
    <t>1 03 00000 00 0000 000</t>
  </si>
  <si>
    <t>НАЛОГИ НА ТОВАРЫ (РАБОТЫ, УСЛУГИ), РЕАЛИЗУЕМЫЕ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</si>
  <si>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</si>
  <si>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</si>
  <si>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подлежащий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</si>
  <si>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</si>
  <si>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100 1 03 02230 01 0000 110</t>
  </si>
  <si>
    <t>100 1 03 02240 01 0000 110</t>
  </si>
  <si>
    <t>100 1 03 02250 01 0000 110</t>
  </si>
  <si>
    <t>100 1 03 02260 01 0000 110</t>
  </si>
  <si>
    <t>Управление Федерального казначейства по Нижегородской области</t>
  </si>
  <si>
    <t>Налоги на имущество</t>
  </si>
  <si>
    <t>1 06 00000 00 0000 000</t>
  </si>
  <si>
    <t>НАЛОГИ НА ИМУЩЕСТВО</t>
  </si>
  <si>
    <t>1 06 01000 00 0000 110</t>
  </si>
  <si>
    <t>Налог на имущество физических лиц</t>
  </si>
  <si>
    <t>1 06 06000 00 0000 110</t>
  </si>
  <si>
    <t>Земельный налог</t>
  </si>
  <si>
    <t>182 1 06 01020 14 0000 110</t>
  </si>
  <si>
    <t>182 1 06 06032 14 0000 110</t>
  </si>
  <si>
    <t>182 1 06 06042 14 0000 110</t>
  </si>
  <si>
    <t>Земельный налог с физических лиц, обладающих земельным участком, расположенных в границах муниципальных округов</t>
  </si>
  <si>
    <t>Земельный налог с организаций, обладающих земельным участком, расположенных в границах муниципальных округов</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</si>
  <si>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</si>
  <si>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182 1 05 04020 02 0000 110  182 1 05 04060 02 0000 110</t>
  </si>
  <si>
    <t>Налог, взимаемый в связи с применением патентной системы налогообложения, зачисляемые в бюджеты муниципальных районов (округов)</t>
  </si>
  <si>
    <t>366 1 11 05012 00 0000120</t>
  </si>
  <si>
    <t>143 1 11 05012 00 0000 120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</si>
  <si>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</si>
  <si>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366 1 11 05024 14 0000 120</t>
  </si>
  <si>
    <t>366 1 11 05034 14 0000 120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</si>
  <si>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</si>
  <si>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</si>
  <si>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366 1 11 07014 14 0000 120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</si>
  <si>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</si>
  <si>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</si>
  <si>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366 1 11 09044 14 0000 120</t>
  </si>
  <si>
    <t>074 1 13 01994 14 0000 130</t>
  </si>
  <si>
    <t>057 1 13 01994 14 0000 130</t>
  </si>
  <si>
    <t>487 1 13 01994 14 0000 130</t>
  </si>
  <si>
    <t>Прочие доходы от оказания платных услуг (работ) получателями средств бюджетов муниципальных округов</t>
  </si>
  <si>
    <t>Воскресенского муниципального района (округа)</t>
  </si>
  <si>
    <t>Доходы, поступающие в порядке возмещения расходов, понесенных в связи с эксплуатацией имущества муниципальных округов</t>
  </si>
  <si>
    <t>366 1 13 02994 14 0000 130</t>
  </si>
  <si>
    <t>Прочие доходы от компенсации затрат бюджетов муниципальных округов</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</si>
  <si>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</si>
  <si>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366 1 14 06012 14 0000 430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</si>
  <si>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</si>
  <si>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366 1 14 06312 14 0000 430</t>
  </si>
  <si>
    <t>Комитет по управлению муниципальным имуществом Воскресенского муниципального округа Нижегородской области</t>
  </si>
  <si>
    <t>366 1 14 13040 14 0000 410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</si>
  <si>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</si>
  <si>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1 13 02990 00 0000 130</t>
  </si>
  <si>
    <t>1 13 02060 00 0000 130</t>
  </si>
  <si>
    <t>1 14 06010 00 0000 430</t>
  </si>
  <si>
    <t>057 1 13 02064 14 0000 130</t>
  </si>
  <si>
    <t>487 1 13 02064 14 0000 130</t>
  </si>
  <si>
    <t>010 1 13 02064 14 0000 130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</si>
  <si>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</si>
  <si>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133 1 13 02995 05 0000 130</t>
  </si>
  <si>
    <t>001 2 02 15001 14 0000 150</t>
  </si>
  <si>
    <t>001 2 02 15002 14 0000 150</t>
  </si>
  <si>
    <t>Дотация на сбалансированность</t>
  </si>
  <si>
    <t>Дотации бюджетам муниципальных округов на выравнивание бюджетной обеспеченности</t>
  </si>
  <si>
    <t>057 2 02 25467 145 0000 150</t>
  </si>
  <si>
    <t>Управление финансов администрации Воскресенского муниципального округа Нижегородской области</t>
  </si>
  <si>
    <t>057 2 02 25519 14 0000 150</t>
  </si>
  <si>
    <t>Субсидия на поддержку отрасли культуры</t>
  </si>
  <si>
    <t>Отдел культуры, молодежной политики и спорта администрации Воскресенского муниципального округа Нижегородской области</t>
  </si>
  <si>
    <t>074 2 02 25097 14 0000 150</t>
  </si>
  <si>
    <t>Субсидии на обновление материально-технической базы для организации учебно-исследовательской, научно-прктической, творческой деятельности, занятий физической культурой и спортом в образовательных организациях</t>
  </si>
  <si>
    <t>Управление образования администрации Воскресенского муниципального округа Нижегородской области</t>
  </si>
  <si>
    <t>074 2 02 25304 14 0000 150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</si>
  <si>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</si>
  <si>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074 2 02 29999 14 0000 150</t>
  </si>
  <si>
    <t>Субсидии на реализацию мероприятий по исполнению требований по антитеррористической защищенности объектов образования</t>
  </si>
  <si>
    <t>Субвенция на осуществление государственных полномочий Российской Федерации по первичному воинскому учету органами местного самоуправления поселений муниципальных округов и городских округов</t>
  </si>
  <si>
    <t>001 2 02 35118 14 0000 150</t>
  </si>
  <si>
    <t>001 2 02 39998 05 0000 150</t>
  </si>
  <si>
    <t>2 02 39998 00 0000 150</t>
  </si>
  <si>
    <t>2 02 35120 00 0000 150</t>
  </si>
  <si>
    <t>001 2 02 39998 14 0000 150</t>
  </si>
  <si>
    <t>2 02 35118 00 0000 150</t>
  </si>
  <si>
    <t>2 02 35303 00 0000 150</t>
  </si>
  <si>
    <t>Субвенции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</si>
  <si>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074 2 02 30024 14 0000 150</t>
  </si>
  <si>
    <t xml:space="preserve"> 2 02 30024 00 0000 150</t>
  </si>
  <si>
    <t>Субвенции бюджетам муниципальных образований на выполнение передаваемых полномочий субъектов Российской Федерации</t>
  </si>
  <si>
    <t>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</si>
  <si>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Субвенции на осуществление полномочий по организации мероприятий при осуществлении деятельности по обращению с животными в части отлова и содержания животных без владельцев</t>
  </si>
  <si>
    <t>2 02 30029 00 0000 150</t>
  </si>
  <si>
    <t>074 2 02 35303 14 0000 150</t>
  </si>
  <si>
    <t>082 2 02 27576 05 0000 150</t>
  </si>
  <si>
    <t>082 2 02 30024 14 0000 150</t>
  </si>
  <si>
    <t>Управление сельского хозяйства администрации Воскресенского муниципального округа Нижегородской области</t>
  </si>
  <si>
    <t>2 02 35502 00 0000 150</t>
  </si>
  <si>
    <t>Субвенции бюджетам муниципальных образований на стимулирование развития приоритетных подотраслей агропромышленного комплекса и развитие малых форм хозяйствования</t>
  </si>
  <si>
    <t>Субвенции бюджетам муниципальных округов на обеспечение прироста сельскохозяйственной продукции собственного производства в рамках приоритетных подотраслей агромпромышленного комплекса</t>
  </si>
  <si>
    <t>082 2 02 35502 14 0000 150</t>
  </si>
  <si>
    <t>082 2 02 35508 14 0000 150</t>
  </si>
  <si>
    <t>133 2 02 20077 14 0000 150</t>
  </si>
  <si>
    <t>Отдел капитального строительства и архитектуры администрации Воскресенского муниципального округа Нижегородской области</t>
  </si>
  <si>
    <t>133 2 02 25497 14 0000 150</t>
  </si>
  <si>
    <t>Субсидии бюджетам муниципальных округов на реализацию мероприятий по обеспечению жильем молодых семей</t>
  </si>
  <si>
    <t>13 2 02 25555 14 0000 150</t>
  </si>
  <si>
    <t xml:space="preserve">Субсидии на поддержку государственных программ субъектов Российской Федерации и муниципальных программ формирования современной городской среды </t>
  </si>
  <si>
    <t>133 2 02 29999 14 0000 150</t>
  </si>
  <si>
    <t>Субсидии на проведение ремонта дворовых территорий в муниципальных образованиях Нижегородской области</t>
  </si>
  <si>
    <t>Субсидии на реализацию мероприятий в рамках проета "Память поколений"</t>
  </si>
  <si>
    <t>Администрация Воскресенского муниципального округа Нижегородской области</t>
  </si>
  <si>
    <t>487 2 02 29999 14 0000 150</t>
  </si>
  <si>
    <t>Субсидии на ликвидацию свалок и объектов размещения отходов</t>
  </si>
  <si>
    <t>Субсидии на приобретение  мусорных контейнеров и (или) бункеров</t>
  </si>
  <si>
    <t>Субсидии на приобретение автобусов</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</si>
  <si>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</si>
  <si>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</si>
  <si>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487 2 02 35120 14 0000 150</t>
  </si>
  <si>
    <t>Администрация Воскресенского муниципального окгруга Нижегородской области</t>
  </si>
  <si>
    <t>133 2 02 30024 14 0000 150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</si>
  <si>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</si>
  <si>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134 2 02 35082 14 0000 150</t>
  </si>
  <si>
    <t>2 02 49999 00 0000 150</t>
  </si>
  <si>
    <t>Прочие межбюджетные трансферты, передаваемые бюджетам</t>
  </si>
  <si>
    <t>133 2 02 49999 14 0000 150</t>
  </si>
  <si>
    <t>001 2 02 49999 05 0000 150</t>
  </si>
  <si>
    <t>Иные межбюджетные трансферты из фонда поддержки территорий</t>
  </si>
  <si>
    <t>Иные межбюджетные трансферты на предоставление грантов в целях поощрения мун.районов и гор.округов НО, достигающих наилучших результатов в сфере повыш.эффект-ти бюдж.расходов</t>
  </si>
  <si>
    <t xml:space="preserve">Иные межбюджетные трансферты на выплату заработной платы (с начислениями на нее) работникам муниципальных учреждений и органом местного самоуправления </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</si>
  <si>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районов</t>
  </si>
  <si>
    <t>074 2 02 49999 05 0000 150</t>
  </si>
  <si>
    <t xml:space="preserve">Иные межбюджетные трансферты на обеспечение оснащения муниципальных общеобразовательных организаций, в том числе структурных подразделений указанных организаций, государственными символами РФ </t>
  </si>
  <si>
    <t>Иные межбюджетные трансферты на финансовое обеспечение деятельности центров образования цифрового и гуманитарного профилей "Точка роста"</t>
  </si>
  <si>
    <t>Иные межбюджетные трансферты на обеспечение оснащения муниципальных общеобразовательных организаций, в том числе структурных подразделений указанных организаций, государственными символами РФ за счет средств областного бюджета</t>
  </si>
  <si>
    <t>Субсидии на снос расселенных многоквартирных жилых домов в муниципальных образованиях НО, признанных аварийными</t>
  </si>
  <si>
    <t>2 02 35134 00 0000 150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</si>
  <si>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за счет средств федерального бюджета</t>
  </si>
  <si>
    <t>Иные межбюджетные трансферты на предоставление грантов на награжд.зана звание "Лучшее МО НО в сфере благоустрюи дорожной деятельн"</t>
  </si>
  <si>
    <t>Иные межбюджетные трансферты на приобретение мусорных контейнеров и (или) бункеров</t>
  </si>
  <si>
    <t>133 2 07 05030 05 0000 150</t>
  </si>
  <si>
    <t>Возврат остатков субсидий на реализацию мероприятий по обеспечению жильем молодых семей из бюджетов муниципальных районов</t>
  </si>
  <si>
    <t>001 2 19 45160 05 0000 150</t>
  </si>
  <si>
    <t>133 2 19 25497 05 0000 150</t>
  </si>
  <si>
    <t>487 2 02 25527 05 0000 150</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</si>
  <si>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за счет средств областного бюджета</t>
  </si>
  <si>
    <t>Предоставление негосударственными организациями грантов для получателей средств бюджетов муниципальных районов</t>
  </si>
  <si>
    <t>2 04 05010 05 0000 150</t>
  </si>
  <si>
    <t>487 2 04 05010 05 0000 150</t>
  </si>
  <si>
    <t>+кп ноябрь декабрь</t>
  </si>
  <si>
    <t>зачисленно/10*12</t>
  </si>
  <si>
    <t>1 16 01083 01 0000 140</t>
  </si>
  <si>
    <t>218 1 16 01083 01 0000 140</t>
  </si>
  <si>
    <t xml:space="preserve"> 1 16 01153 01 0000 140</t>
  </si>
  <si>
    <t>Административные штрафы, установленные главой 15 Кодекса Российской Федерации об административных правонарушениях, за административне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</si>
  <si>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</si>
  <si>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1 16 01173 01 0000 140</t>
  </si>
  <si>
    <t>218 1 16 01173 01 0000 140</t>
  </si>
  <si>
    <t>218 1 16 10123 05 0000 140</t>
  </si>
  <si>
    <t>366 1 13 02995 05 0000 130</t>
  </si>
  <si>
    <t>1 14 06025 05 0000 400</t>
  </si>
  <si>
    <t>366 1 14 06025 05 0000 400</t>
  </si>
  <si>
    <t>074 1 17 01050 05 0000 180</t>
  </si>
  <si>
    <t>133 1 17 01050 05 0000 180</t>
  </si>
  <si>
    <t>133 1 17 05050 05 0000 180</t>
  </si>
  <si>
    <t>Налоговые доходы</t>
  </si>
  <si>
    <t>010 1 13 02994 14 0000 130</t>
  </si>
  <si>
    <t>074 1 13 02994 14 0000 130</t>
  </si>
  <si>
    <t>133 1 13 02994 14 0000 130</t>
  </si>
  <si>
    <t>487 1 13 02994 14 0000 130</t>
  </si>
  <si>
    <t>Управление по благоустройству и работе с территориями администрации Воскресенского муниципального округа Нижегородской области</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</si>
  <si>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</si>
  <si>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074 2 02 49999 14 0000 150</t>
  </si>
  <si>
    <t>074 2 02 25098 14 0000 150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</si>
  <si>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</si>
  <si>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366 1 11 05312 14 0000 120</t>
  </si>
  <si>
    <t>133 2 02 25555 14 0000 150</t>
  </si>
  <si>
    <t>487 2 02 49999 14 0000 150</t>
  </si>
  <si>
    <t>057 2 02 25467 14 0000 150</t>
  </si>
  <si>
    <t>074 2 02 45179 14 0000 150</t>
  </si>
  <si>
    <t>082 2 02 27576 14 0000 150</t>
  </si>
  <si>
    <t>182 1.01.02130.01.0000.110</t>
  </si>
  <si>
    <t>074 1 11 05312 14 0000 120</t>
  </si>
  <si>
    <t>366 1.11.05324.14.0000.120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</si>
  <si>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</si>
  <si>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</si>
  <si>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366 1 14 06324 14 0000 430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</si>
  <si>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</si>
  <si>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</si>
  <si>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Невыясненные поступления, зачисляемые в бюджеты муниципальных округов</t>
  </si>
  <si>
    <t>057 1 17 01040 14 0000 180</t>
  </si>
  <si>
    <t>001 1 17 01040 14 0000 180</t>
  </si>
  <si>
    <t>074 1 17 05040 14 0000 180</t>
  </si>
  <si>
    <t>Прочие неналоговые доходы бюджетов муниципальных округов</t>
  </si>
  <si>
    <t>Инициативные платежи</t>
  </si>
  <si>
    <t xml:space="preserve">Прогноз доходов бюджета на 2024 г. (текущий финансовый год) </t>
  </si>
  <si>
    <t>Кассовые поступления в текущем финансовом году (по состоянию на 01.11.2024 г.)</t>
  </si>
  <si>
    <t>Оценка исполнения 2024 г. (текущий финансовый год)</t>
  </si>
  <si>
    <t>на 2025 г. (очередной финансовый год)</t>
  </si>
  <si>
    <t>на 2026 г. (первый год планового периода)</t>
  </si>
  <si>
    <t>на 2027 г. (второй год планового периода)</t>
  </si>
  <si>
    <t>001 2 02 15001 14 0220 150</t>
  </si>
  <si>
    <t>Дотации бюджетам муниципальных округов на выравнивание бюджетной обеспеченности из бюджета субъекта Российской Федерации, за счёт областного бюджета</t>
  </si>
  <si>
    <t>Дотации бюджетам муниципальных округов на поддержку мер по обеспечению сбалансированности бюджетов, за счет областного бюджета</t>
  </si>
  <si>
    <t>001 2 02 15002 14 0220 150</t>
  </si>
  <si>
    <t>Дотации  бюджетам бюджетной системы Российской Федерации</t>
  </si>
  <si>
    <t>001 2 02 35118 14 0110 150</t>
  </si>
  <si>
    <t>001 2 02 39998 14 0220 150</t>
  </si>
  <si>
    <t>Единая субвенция бюджетам муниципальных округов, за счет средств областного бюджета</t>
  </si>
  <si>
    <t>Прочие межбюджетные трансферты, передаваемые бюджетам муниципальных округов, за счет областного бюджета</t>
  </si>
  <si>
    <t>001 2 02 49999 14 0220 150</t>
  </si>
  <si>
    <t>ДОХОДЫ ОТ ОКАЗАНИЯ ПЛАТНЫХ УСЛУГ И КОМПЕНСАЦИИ ЗАТРАТ ГОСУДАРСТВА</t>
  </si>
  <si>
    <t xml:space="preserve">Прочие доходы от компенсации затрат государства </t>
  </si>
  <si>
    <t>010 1 17 01040 14 0000 180</t>
  </si>
  <si>
    <t>1 17 15000 00 0000 180</t>
  </si>
  <si>
    <t>Инициативные платежи, зачисляемые в бюджеты муниципальных округов</t>
  </si>
  <si>
    <t>487 1 17 15020 14 0000 150</t>
  </si>
  <si>
    <t>Субсидии бюджетам бюджетной системы Российской Федерации (межбюджетные субсидии)</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</si>
  <si>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з счет средств областного бюджета</t>
  </si>
  <si>
    <t>010 2 02 20216 14 0220 150</t>
  </si>
  <si>
    <t>2 02 29999 00 0000 150</t>
  </si>
  <si>
    <t>010 2 02 29999 14 0220 150</t>
  </si>
  <si>
    <t xml:space="preserve">Субсидии на реализацию проекта инициативного бюджетирования "Вам решать" </t>
  </si>
  <si>
    <t xml:space="preserve">Субсидии на проведение ремонта дворовых территорий в муниципальных образованиях НО  </t>
  </si>
  <si>
    <t>Субсидии на реализацию мероприятий в рамках проекта "Память поколений"</t>
  </si>
  <si>
    <t>Субсидии на приобретение контейнеров и (или) бункеров</t>
  </si>
  <si>
    <t>Субсидии на содержание объектов благоустройства и общественных территорий</t>
  </si>
  <si>
    <t xml:space="preserve">на реализацию мероприятий по обустройству и восстановлению памятных мест, посвященных Великой Отечественной войне 1941 - 1945 годов </t>
  </si>
  <si>
    <t>ПЛАТЕЖИ ПРИ ПОЛЬЗОВАНИИ ПРИРОДНЫМИ РЕСУРСАМИ</t>
  </si>
  <si>
    <t>048 1 12 01010 01 6000 120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</si>
  <si>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</si>
  <si>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Департамент Росприроднадзора по Приволжскому федеральному округу</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</si>
  <si>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</si>
  <si>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</si>
  <si>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</si>
  <si>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Субсидии бюджетам муниципальных округов на поддержку отрасли культуры</t>
  </si>
  <si>
    <t>057 2 02 29999 14 0220 150</t>
  </si>
  <si>
    <t>Субсидии на материально-техническое оснащение муниципальных учреждений культуры и организаций дополнительного образования, реализующих образовательные программы в области искусства</t>
  </si>
  <si>
    <t>057 2 02 49999 14 0220 150</t>
  </si>
  <si>
    <t xml:space="preserve">Иные МБТ на создание модельных библиотек Нижегородской области </t>
  </si>
  <si>
    <t>074 1.16.10031.14.0000.140</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</si>
  <si>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</si>
  <si>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муниц.организациях, осуществляющих образовательную деятельность, в части финансирования стоимости набора продуктов для организации питания  </t>
  </si>
  <si>
    <t xml:space="preserve">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взаимодейсвию с детскими общественными объединениями муниц.образований НО </t>
  </si>
  <si>
    <t xml:space="preserve">Субвенция на осущ.полномочий по  аттестации педагогических работников </t>
  </si>
  <si>
    <t xml:space="preserve">Субвенция на возмещение части расходов по приобретению путевок в детские санатории, санаторно-оздор.лагеря </t>
  </si>
  <si>
    <t>074 2 02 30029 14 0220 150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</si>
  <si>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за счёт средств областного бюджета</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</si>
  <si>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t>
  </si>
  <si>
    <t>074 2 02 35303 14 0110 150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</si>
  <si>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</si>
  <si>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074 2 19 60010 14 0220 150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</si>
  <si>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</si>
  <si>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076 1.16.11050.01.0000.140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</si>
  <si>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</si>
  <si>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082 1 13 02994 14 0000 130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</si>
  <si>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</si>
  <si>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082 2 02 29999 14 0000 150</t>
  </si>
  <si>
    <t>Субсидии на реализацию мероприятий по благоустройству сельских территорий</t>
  </si>
  <si>
    <t xml:space="preserve">Субвенции на возмещение части затрат на поддержку элитного семеноводства </t>
  </si>
  <si>
    <t xml:space="preserve">Субвенции на возмещение части затрат на поддержку племенного животноводства  </t>
  </si>
  <si>
    <t xml:space="preserve">Субвенция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t>
  </si>
  <si>
    <t xml:space="preserve">Субвенция на исп.полномочий по фин.обеспеч.выплаты компенсации педагог.работникам за работу по подготовке и проведению гос.итоговой аттестации по обр.программам основного общего и и среднего общего образования </t>
  </si>
  <si>
    <t xml:space="preserve">Субвенция на исп.полномочий по фин.обеспечению осущ.присмотра и ухода за детьми инвалидами, детьми-сиротами а также за детьми с туберкулезной итоксикацией,обучающимися в муниц.образовательных организациях, реализующих образовательные программы дошкольного образования </t>
  </si>
  <si>
    <t xml:space="preserve">Субвенция на обеспечение полномочий по организации мероприятий при осуществлении деятельности по обращению с животными в части отлова и содержания животных без владельцев </t>
  </si>
  <si>
    <t xml:space="preserve">Субвенции по осуществлению выплат, предусмотренных Законом НО от 26.12.2018 №158-З "О мерах по развитию кадрового потенциала сельскохозяйственного производства НО" </t>
  </si>
  <si>
    <t>082 2 19 35502 14 0000 150</t>
  </si>
  <si>
    <t>Возврат остатков субвенций на стимулирование развития приоритетных подотраслей агропромышленного комплекса и развитие малых форм хозяйствования из бюджетов муниципальных округов</t>
  </si>
  <si>
    <t>082 2 19 35508 14 0000 150</t>
  </si>
  <si>
    <t>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t>
  </si>
  <si>
    <t>082 2 19 60010 14 0220 150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</si>
  <si>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 за счет средств областного бюджета</t>
  </si>
  <si>
    <t>100 1 03 02231 01 0000 110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</si>
  <si>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</si>
  <si>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</si>
  <si>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</si>
  <si>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</si>
  <si>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100 1 03 02241 01 0000 110</t>
  </si>
  <si>
    <t>100 1 03 02251 01 0000 110</t>
  </si>
  <si>
    <t>100 1 03 02261 01 0000 110</t>
  </si>
  <si>
    <t>Управление Федеральной Налоговой службы по Нижегородской области</t>
  </si>
  <si>
    <t>133 2 02 20077 14 0220 150</t>
  </si>
  <si>
    <t>Субсидии бюджетам муниципальных округов на софинансирование капитальных вложений в объекты муниципальной собственности, за счет средст областного бюджета</t>
  </si>
  <si>
    <t>133 2 02 20299 14 0220 150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</si>
  <si>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за счет средств областного бюджета</t>
  </si>
  <si>
    <t>Субсидии бюджетам муниципальных округов на реализацию программ формирования современной городской среды, за счет средств федерального бюджета</t>
  </si>
  <si>
    <t>133 2 02 30024 14 0220 150</t>
  </si>
  <si>
    <t xml:space="preserve">Субвенция на осущ.полномочий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обеспечения безопасности сибиреязвенных скотомогильников </t>
  </si>
  <si>
    <t>133 2 02 35082 14 0220 150</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</si>
  <si>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областного бюджета</t>
  </si>
  <si>
    <t xml:space="preserve">МБТ на предоставление соц.выплат на возмещение процентной ставки по кредитам, полученным гражданами на газификацию жилья в российских кредитных организациях </t>
  </si>
  <si>
    <t>133 2 02 49999 14 0220 150</t>
  </si>
  <si>
    <t>143 1 11 05012 14 0000 120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</si>
  <si>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</si>
  <si>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</si>
  <si>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</si>
  <si>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</si>
  <si>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взимаемый с налогоплательщиков, выбравших в качестве объекта налогообложения доходы</t>
  </si>
  <si>
    <t>Налог, взимаемый в связи с применением патентной системы налогообложения, зачисляемый в бюджеты муниципальных округов</t>
  </si>
  <si>
    <t>182 1 05 04060 02 0000 110</t>
  </si>
  <si>
    <t>Земельный налог с физических лиц, обладающих земельным участком, расположенным в границах муниципальных округов</t>
  </si>
  <si>
    <t>Земельный налог с организаций, обладающих земельным участком, расположенным в границах муниципальных округов</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</si>
  <si>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</si>
  <si>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1 16 01050 00 0000 140</t>
  </si>
  <si>
    <t>1 16 01060 00 0000 140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</si>
  <si>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</si>
  <si>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1 16 01070 00 0000 140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</si>
  <si>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</si>
  <si>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</si>
  <si>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</si>
  <si>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</si>
  <si>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</si>
  <si>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</si>
  <si>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</si>
  <si>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218 1 16 01093 01 0000 140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</si>
  <si>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</si>
  <si>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</si>
  <si>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1 16 01140 01 0000 140</t>
  </si>
  <si>
    <t xml:space="preserve">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</si>
  <si>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</si>
  <si>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</si>
  <si>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</si>
  <si>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</si>
  <si>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1 16 01170 01 0000 140</t>
  </si>
  <si>
    <t>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</si>
  <si>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</si>
  <si>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</si>
  <si>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1 16 01200 00 0000 140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</si>
  <si>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</si>
  <si>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</si>
  <si>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</si>
  <si>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366 1 11 05012 14 0000 120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</si>
  <si>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</si>
  <si>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366 1 14 06024 14 0000 430</t>
  </si>
  <si>
    <t>Комитет по управлению муниципальным имуществом Воскресенского муниципальногоокругаНижегородской области</t>
  </si>
  <si>
    <t>1 14 13000 00 0000 410</t>
  </si>
  <si>
    <t>Администрация Воскресенского муниципального  округа Нижегородской области</t>
  </si>
  <si>
    <t>Субсидии бюджетам муниципальных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</si>
  <si>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487 2 02 25527 14 0000 150</t>
  </si>
  <si>
    <t xml:space="preserve">Субсидии на оказание частичной финансовой поддержки СМИ </t>
  </si>
  <si>
    <t xml:space="preserve">Субсидии на приобретение автобусов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</si>
  <si>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</si>
  <si>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МБТ Резервный фонд Правительства Нижегородской области </t>
  </si>
  <si>
    <t xml:space="preserve">Иные МБТ на реализацию социально-значимых мероприятий в рамках решения вопросов местного значения </t>
  </si>
  <si>
    <t>Неналоговые доходы</t>
  </si>
  <si>
    <t>Единая субвенция</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</si>
  <si>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</si>
  <si>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Платежи при пользовании природными ресурсами</t>
  </si>
  <si>
    <t>366 1 13 02064 14 0000 130</t>
  </si>
  <si>
    <t>074 2 02 25750 14 0000 150</t>
  </si>
  <si>
    <t>Субсидии на реализацию мероприятий по модернизации школьных систем образования</t>
  </si>
  <si>
    <t xml:space="preserve">Субсидия на реализацию мероприятий по исполнению требований по антитеррористической зашищенности объектов образования </t>
  </si>
  <si>
    <t xml:space="preserve">Субсидии на реализацию мероприятий в рамках адресной инвестиционной программы </t>
  </si>
  <si>
    <t xml:space="preserve">Субсидии на капремонт образовательных организаций </t>
  </si>
  <si>
    <t>Субсидии на разработку проектной документации на ликвидацию (рекультивацию) свалок отходов</t>
  </si>
  <si>
    <t xml:space="preserve">Субсидии на обеспечение мероприятий по переселению граждан из аварийного жилищного фонда за счет средств обл.бюджета </t>
  </si>
  <si>
    <t xml:space="preserve">Субсидии на доп.финансовое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t>
  </si>
  <si>
    <t xml:space="preserve">Субсидия на снос расселенных многоквартирных жилых домов в муниципальных образованиях Нижегородской области, признанных аварийными </t>
  </si>
  <si>
    <t xml:space="preserve">Субсидии на софинансировании разницы стоимости жилых помещений между их фактической стоимостью и установленной в региональной адресной программе "Переселение граждан на территории Нижег.области в период с 2024 по 2028 г из аварийного жил.фонда, признанного таковым с 1 января 2017 г. по 1 января 2022г" </t>
  </si>
  <si>
    <t>Субсидии на реализацию дополнительных мероприятий по модернизации школьных систем образования</t>
  </si>
  <si>
    <t>Субвенции на поддержку производства молока</t>
  </si>
  <si>
    <t xml:space="preserve">Субвенция на осущ.полномочий в сфере общего образования  </t>
  </si>
  <si>
    <t xml:space="preserve">РЕЕСТР источников доходов бюджета Воскресенского муниципального округа на 2025 год и на плановый период 2026 и 2027 годов
</t>
  </si>
  <si>
    <t xml:space="preserve">РЕЕСТР источников доходов бюджета Воскресенского муниципального округа на 2026 год и на плановый период 2027 и 2028 годов
</t>
  </si>
  <si>
    <t xml:space="preserve">Прогноз доходов бюджета на 2025 г. (текущий финансовый год) </t>
  </si>
  <si>
    <t>Кассовые поступления в текущем финансовом году (по состоянию на 01.11.2025 г.)</t>
  </si>
  <si>
    <t>Оценка исполнения 2025 г. (текущий финансовый год)</t>
  </si>
  <si>
    <t>на 2026 г. (очередной финансовый год)</t>
  </si>
  <si>
    <t>на 2027 г. (первый год планового периода)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</si>
  <si>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</si>
  <si>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</si>
  <si>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</si>
  <si>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</si>
  <si>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</si>
  <si>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182 1 03 02231 01 0000 110</t>
  </si>
  <si>
    <t>182 1 03 02241 01 0000 110</t>
  </si>
  <si>
    <t>182 1 03 02251 01 0000 110</t>
  </si>
  <si>
    <t>182 1 03 02261 01 0000 110</t>
  </si>
  <si>
    <t>1 05 01000 00 0000 110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</si>
  <si>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</si>
  <si>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Министерство имущественных и земельных отношений Нижегородской области</t>
  </si>
  <si>
    <t>Межрегиональное управление Федеральной службы по надзору в сфере природопользования по Нижегородской области и республике Мордовия</t>
  </si>
  <si>
    <t>Плата за размещение отходов производства</t>
  </si>
  <si>
    <t>074 1 13 02064 14 0000 130</t>
  </si>
  <si>
    <t>Комитет по управлению муниципальным имуществом Воскресенского муниципального оуруга Нижегородской области</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</si>
  <si>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</si>
  <si>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1 14 02000 00 0000 000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</si>
  <si>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</si>
  <si>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1 14 02040 14 0000440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</si>
  <si>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</si>
  <si>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Налог, взимаемый с налогоплательщиков, выбравших в качестве объекта налогообложения доходы, уменьшенные на величину расходов</t>
  </si>
  <si>
    <t>1 06 06030 00 0000 110</t>
  </si>
  <si>
    <t>Земельный налог с организаций</t>
  </si>
  <si>
    <t>1 06 06040 00 0000 110</t>
  </si>
  <si>
    <t>Земельный налог с физических лиц</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</si>
  <si>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</si>
  <si>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</si>
  <si>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1 11 05020 00 0000 120</t>
  </si>
  <si>
    <t>1 11 05030 00 0000 120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</si>
  <si>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</si>
  <si>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</si>
  <si>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</si>
  <si>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1 11 05300 00 0000 120</t>
  </si>
  <si>
    <t>1 11 05310 00 0000 120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</si>
  <si>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</si>
  <si>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</si>
  <si>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</si>
  <si>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1 11 09040 00 0000 120</t>
  </si>
  <si>
    <t>1 12 01040 01 0000 120</t>
  </si>
  <si>
    <t>Прочие доходы от оказания платных услуг (работ)</t>
  </si>
  <si>
    <t>1 13 01990 00 0000 130</t>
  </si>
  <si>
    <t>074 1 14 02042 14 0000440</t>
  </si>
  <si>
    <t>1 14 06300 00 0000 430</t>
  </si>
  <si>
    <t>1 14 06310 00 0000 430</t>
  </si>
  <si>
    <t>1 14 06320 00 0000 430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</si>
  <si>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</si>
  <si>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ДОХОДЫ БЮДЖЕТА - Всего</t>
  </si>
  <si>
    <t>1 03 02230 01 0000 110</t>
  </si>
  <si>
    <t>1 03 02240 01 0000 110</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</si>
  <si>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</si>
  <si>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</si>
  <si>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1 03 02260 01 0000 110</t>
  </si>
  <si>
    <t>1 05 01010 01 0000 110</t>
  </si>
  <si>
    <t>1 05 01020 01 0000 110</t>
  </si>
  <si>
    <t>1 08 00000 00 0000 000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</si>
  <si>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</si>
  <si>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</si>
  <si>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1 14 13000 00 0000 000</t>
  </si>
  <si>
    <t>1 16 01000 01 0000 000</t>
  </si>
  <si>
    <t>Административные штрафы, установленные Кодексом Российской Федерации об административных правонарушениях</t>
  </si>
  <si>
    <t>Управление делами Правительства Нижегородской области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</si>
  <si>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</si>
  <si>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</si>
  <si>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1 16 10000 00 0000 140</t>
  </si>
  <si>
    <t>Платежи в целях возмещения причиненного ущерба (убытков)</t>
  </si>
  <si>
    <t xml:space="preserve"> 1 16 10030 14 0000 140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</si>
  <si>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</si>
  <si>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</si>
  <si>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010 1 16 10132 14 0000 140</t>
  </si>
  <si>
    <t xml:space="preserve"> 1 16 10120 00 0000 140</t>
  </si>
  <si>
    <t>056 1.16.10123.01.0000.140</t>
  </si>
  <si>
    <t>Министерство лесного хозяйства и охраны объектов животного мира Нижегородской области</t>
  </si>
  <si>
    <t>133 1 17 01040 14 0000 180</t>
  </si>
  <si>
    <t>Управление капитального строительства и архитектуры администрации Воскресенского муниципального округа Нижегородской области</t>
  </si>
  <si>
    <t>133 1 17 05040 14 0000 180</t>
  </si>
  <si>
    <t>1 17 15000 00 0000 150</t>
  </si>
  <si>
    <t>010 1 17 15020 14 0000 150</t>
  </si>
  <si>
    <t>2 02 15001 00 0000 150</t>
  </si>
  <si>
    <t>Дотации на выравнивание бюджетной обеспеченности</t>
  </si>
  <si>
    <t>Дотации бюджетам муниципальных округов на выравнивание бюджетной обеспеченности из бюджета субъекта Российской Федерации</t>
  </si>
  <si>
    <t>Дотации бюджетам муниципальных округов на поддержку мер по обеспечению сбалансированности бюджетов</t>
  </si>
  <si>
    <t>2 02 15002 00 0000 150</t>
  </si>
  <si>
    <t>Дотации бюджетам на поддержку мер по обеспечению сбалансированности бюджетов</t>
  </si>
  <si>
    <t>2 02 19999 00 0000 150</t>
  </si>
  <si>
    <t>Прочие дотации</t>
  </si>
  <si>
    <t>Прочие дотации бюджетам муниципальных округов</t>
  </si>
  <si>
    <t>001 2 02 19999 14 0000 150</t>
  </si>
  <si>
    <t>2 02 20077 00 0000 150</t>
  </si>
  <si>
    <t>Субсидии бюджетам на софинансирование капитальных вложений в объекты муниципальной собственности</t>
  </si>
  <si>
    <t>Субсидии бюджетам муниципальных округов на софинансирование капитальных вложений в объекты муниципальной собственности</t>
  </si>
  <si>
    <t>2 02 20216 00 0000 150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</si>
  <si>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</si>
  <si>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</si>
  <si>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010 2 02 20216 14 0000 150</t>
  </si>
  <si>
    <t>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</si>
  <si>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</si>
  <si>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074 2 02 25304 00 0000 150</t>
  </si>
  <si>
    <t>2 02 25454 00 0000 150</t>
  </si>
  <si>
    <t>057 2 02 25454 14 0000 150</t>
  </si>
  <si>
    <t>Субсидии бюджетам на создание модельных муниципальных библиотек</t>
  </si>
  <si>
    <t>Субсидии бюджетам муниципальных округов на создание модельных муниципальных библиотек</t>
  </si>
  <si>
    <t>2 02 25519 00 0000 150</t>
  </si>
  <si>
    <t>Субсидии бюджетам на поддержку отрасли культуры</t>
  </si>
  <si>
    <t>2 02 25555 00 0000 150</t>
  </si>
  <si>
    <t>Субсидии бюджетам на реализацию программ формирования современной городской среды</t>
  </si>
  <si>
    <t>Субсидии бюджетам муниципальных округов на реализацию программ формирования современной городской среды</t>
  </si>
  <si>
    <t>Субсидии бюджетам на подготовку проектов межевания земельных участков и на проведение кадастровых работ</t>
  </si>
  <si>
    <t>Субсидии бюджетам муниципальных округов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</si>
  <si>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</si>
  <si>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муниципальных округов на реализацию мероприятий по модернизации школьных систем образования</t>
  </si>
  <si>
    <t>000 2 02 25599 00 0000 150</t>
  </si>
  <si>
    <t>000 2 02 25750 00 0000 150</t>
  </si>
  <si>
    <t>082 2 02 25599 14 0000 150</t>
  </si>
  <si>
    <t>Субсидия на реализацию мероприятий по исполнению требований к антитеррористической защищенности объектов образования</t>
  </si>
  <si>
    <t>Субсидии на реализацию мероприятий по финансовому обеспечению бесплатным двухразовым питанием обучающихся с ОВЗ,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</si>
  <si>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Субсидия на реализацию мероприятий по благоустройству сельских территорий за счет средств областного бюджета</t>
  </si>
  <si>
    <t>Субсидии на снос расселенных многоквартирных жилых домов в муниципальных образованиях Нижегородской области, признанных аварийными</t>
  </si>
  <si>
    <t>Субсидии на капитальный ремонт муниципальных учреждений культуры</t>
  </si>
  <si>
    <t>Субсидии на оказание частичной финансовой поддержки окружных средств массовой информации</t>
  </si>
  <si>
    <t>010 2 02 29999 14 0000 150</t>
  </si>
  <si>
    <t xml:space="preserve"> 2 02 30024 14 0000 150</t>
  </si>
  <si>
    <t>Субвенции бюджетам муниципальных округов на выполнение передаваемых полномочий субъектов Российской Федерации</t>
  </si>
  <si>
    <t>Субвенции на возмещение части затрат на поддержку племенного животноводства</t>
  </si>
  <si>
    <t>Субвенции на осуществление полномочий по организации мероприятий при осуществлении деятельности по обращению с животными без владельцев</t>
  </si>
  <si>
    <t>Субвенции на возмещение части затрат на приобретение оборудования и техники за счет средств областного бюджета</t>
  </si>
  <si>
    <t>Субвенции на исполнение полномочий по финансовому обеспечению выплат ежемесячного денежного вознаграждения советникам директоров</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</si>
  <si>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</si>
  <si>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2 02 30029 00 0000 150</t>
  </si>
  <si>
    <t xml:space="preserve"> 074 2 02 30029 00 0000 150</t>
  </si>
  <si>
    <t>133 2 02 35082 14 0000 150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</si>
  <si>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</si>
  <si>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</si>
  <si>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487 2 02 35118 14 0000 150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</si>
  <si>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</si>
  <si>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</si>
  <si>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Единая субвенция местным бюджетам</t>
  </si>
  <si>
    <t>Единая субвенция бюджетам муниципальных округов</t>
  </si>
  <si>
    <t xml:space="preserve"> 2 02 35082 00 0000 150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</si>
  <si>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</si>
  <si>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</si>
  <si>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2 02 45179 00 0000 150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</si>
  <si>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</si>
  <si>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</si>
  <si>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001 2 02 49999 14 0000 150</t>
  </si>
  <si>
    <t>Иные межбюджетные трансферты на поощрение региональной управленческой команды верхнего уровня в 2025 году</t>
  </si>
  <si>
    <t>ИМТ из фонда поддержки территорий</t>
  </si>
  <si>
    <t>Иные МБТ на реализацию социально-значимых мероприятий в рамках решения вопросов местного значения</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</si>
  <si>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</si>
  <si>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2 18 00000 00 0000 150</t>
  </si>
  <si>
    <t>2 18 00000 00 0000 000</t>
  </si>
  <si>
    <t>2 18 00000 14 0000 150</t>
  </si>
  <si>
    <t>2 18 04000 14 0000 150</t>
  </si>
  <si>
    <t>074 2 18 04020 14 0000 150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</si>
  <si>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</si>
  <si>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</si>
  <si>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округов от возврата организациями остатков субсидий прошлых лет</t>
  </si>
  <si>
    <t>Доходы бюджетов муниципальных округов от возврата автономными учреждениями остатков субсидий прошлых лет</t>
  </si>
  <si>
    <t>487 2 18 04020 14 0000 150</t>
  </si>
  <si>
    <t>2 19 00000 00 0000 000</t>
  </si>
  <si>
    <t>2 19 00000 14 0000 150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</si>
  <si>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</si>
  <si>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</si>
  <si>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</si>
  <si>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074 2 19 25304 14 0000 150</t>
  </si>
  <si>
    <t>074 2 19 35303 14 0000 150</t>
  </si>
  <si>
    <t>074 2 19 60010 14 0000 150</t>
  </si>
  <si>
    <t>133 2 19 60010 14 0000 150</t>
  </si>
  <si>
    <t>2 19 60010 14 0000 150</t>
  </si>
  <si>
    <t>487 1 14 02042 14 0000440</t>
  </si>
  <si>
    <t xml:space="preserve"> 1 16 07000 00 0000 140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</si>
  <si>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</si>
  <si>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</si>
  <si>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1 16 07010 00 0000 140</t>
  </si>
  <si>
    <t>074 1 16 10131 14 0000 140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</si>
  <si>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</si>
  <si>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субвенции на возмещение части затрат на поддержку элитного семеноводства </t>
  </si>
  <si>
    <t xml:space="preserve">Субвенции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t>
  </si>
  <si>
    <t>2 07 00000 00 0000 000</t>
  </si>
  <si>
    <t>Прочие безвозмездные поступления в бюджеты муниципальных округов</t>
  </si>
  <si>
    <t>2 07 04000 14 0000 150</t>
  </si>
  <si>
    <t>2 07 04050 14 0000 150</t>
  </si>
  <si>
    <t>082 2 19 60010 14 0000 150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</si>
  <si>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</si>
  <si>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</si>
  <si>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</si>
  <si>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Субсидии бюджетам на реализацию мероприятий по обеспечению жильем молодых семей</t>
  </si>
  <si>
    <t>2 02 25497 00 0000 150</t>
  </si>
  <si>
    <t>Субсидии на обеспечение мероприятий по переселению граждан из аварийного жилищного фонда</t>
  </si>
  <si>
    <t>Субсидии на мероприятия по погашению задолженности, на возмещение расходов и (или) компенсацию выпадающих доходов, вызванных сверхлимитным потреблением топливно-энергетических ресурсов</t>
  </si>
  <si>
    <t>Субсидии по обеспечению парка строительно-дорожной и коммунальной техники в Нижегородской области на основе финансовой аренды (лизинга) на льготных условиях</t>
  </si>
  <si>
    <t>Субвенции на осуществление полномочий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обеспечения безопасности сибиреязвенных скотомогильников</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</si>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</sst>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numFmts>
  <fonts count="27" x14ac:knownFonts="1">
    <font>
      <sz val="11"/>
      <color theme="1"/>
      <name val="Calibri"/>
      <family val="2"/>
      <charset val="204"/>
      <scheme val="minor"/>
    </font>
    <font>
      <b/>
      <sz val="14"/>
      <color theme="1"/>
      <name val="Times New Roman"/>
      <family val="1"/>
      <charset val="204"/>
    </font>
    <font>
      <sz val="11"/>
      <color theme="1"/>
      <name val="Times New Roman"/>
      <family val="1"/>
      <charset val="204"/>
    </font>
    <font>
      <b/>
      <u/>
      <sz val="11"/>
      <color theme="1"/>
      <name val="Times New Roman"/>
      <family val="1"/>
      <charset val="204"/>
    </font>
    <font>
      <b/>
      <sz val="11"/>
      <color theme="1"/>
      <name val="Times New Roman"/>
      <family val="1"/>
      <charset val="204"/>
    </font>
    <font>
      <b/>
      <sz val="11"/>
      <color theme="1"/>
      <name val="Calibri"/>
      <family val="2"/>
      <charset val="204"/>
      <scheme val="minor"/>
    </font>
    <font>
      <b/>
      <i/>
      <sz val="11"/>
      <color theme="1"/>
      <name val="Times New Roman"/>
      <family val="1"/>
      <charset val="204"/>
    </font>
    <font>
      <sz val="12"/>
      <color theme="1"/>
      <name val="Times New Roman"/>
      <family val="1"/>
      <charset val="204"/>
    </font>
    <font>
      <b/>
      <sz val="12"/>
      <color theme="1"/>
      <name val="Times New Roman"/>
      <family val="1"/>
      <charset val="204"/>
    </font>
    <font>
      <b/>
      <i/>
      <sz val="12"/>
      <color theme="1"/>
      <name val="Times New Roman"/>
      <family val="1"/>
      <charset val="204"/>
    </font>
    <font>
      <b/>
      <i/>
      <sz val="11"/>
      <color theme="1"/>
      <name val="Calibri"/>
      <family val="2"/>
      <charset val="204"/>
      <scheme val="minor"/>
    </font>
    <font>
      <sz val="11"/>
      <name val="Times New Roman"/>
      <family val="1"/>
      <charset val="204"/>
    </font>
    <font>
      <sz val="12"/>
      <name val="Times New Roman"/>
      <family val="1"/>
      <charset val="204"/>
    </font>
    <font>
      <b/>
      <sz val="11"/>
      <name val="Times New Roman"/>
      <family val="1"/>
      <charset val="204"/>
    </font>
    <font>
      <b/>
      <i/>
      <sz val="11"/>
      <name val="Times New Roman"/>
      <family val="1"/>
      <charset val="204"/>
    </font>
    <font>
      <sz val="11"/>
      <name val="Calibri"/>
      <family val="2"/>
      <charset val="204"/>
      <scheme val="minor"/>
    </font>
    <font>
      <b/>
      <sz val="11"/>
      <name val="Calibri"/>
      <family val="2"/>
      <charset val="204"/>
      <scheme val="minor"/>
    </font>
    <font>
      <b/>
      <sz val="12"/>
      <name val="Times New Roman"/>
      <family val="1"/>
      <charset val="204"/>
    </font>
    <font>
      <b/>
      <i/>
      <sz val="11"/>
      <name val="Calibri"/>
      <family val="2"/>
      <charset val="204"/>
      <scheme val="minor"/>
    </font>
    <font>
      <b/>
      <i/>
      <sz val="12"/>
      <name val="Times New Roman"/>
      <family val="1"/>
      <charset val="204"/>
    </font>
    <font>
      <sz val="8"/>
      <name val="Calibri"/>
      <family val="2"/>
      <charset val="204"/>
      <scheme val="minor"/>
    </font>
    <font>
      <sz val="8"/>
      <color theme="1"/>
      <name val="Times New Roman"/>
      <family val="1"/>
      <charset val="204"/>
    </font>
    <font>
      <sz val="8"/>
      <color theme="1"/>
      <name val="Calibri"/>
      <family val="2"/>
      <charset val="204"/>
      <scheme val="minor"/>
    </font>
    <font>
      <b/>
      <i/>
      <sz val="8"/>
      <name val="Calibri"/>
      <family val="2"/>
      <charset val="204"/>
      <scheme val="minor"/>
    </font>
    <font>
      <sz val="10"/>
      <name val="Arial"/>
      <family val="2"/>
      <charset val="204"/>
    </font>
    <font>
      <i/>
      <sz val="11"/>
      <color theme="1"/>
      <name val="Times New Roman"/>
      <family val="1"/>
      <charset val="204"/>
    </font>
    <font>
      <sz val="10"/>
      <name val="Arial"/>
      <family val="2"/>
      <charset val="204"/>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00B05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24" fillId="0" borderId="0"/>
    <xf numFmtId="0" fontId="26" fillId="0" borderId="0"/>
  </cellStyleXfs>
  <cellXfs count="405">
    <xf numFmtId="0" fontId="0" fillId="0" borderId="0" xfId="0"/>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49" fontId="2" fillId="3" borderId="1" xfId="0" applyNumberFormat="1" applyFont="1" applyFill="1" applyBorder="1" applyAlignment="1">
      <alignment vertical="center" wrapText="1"/>
    </xf>
    <xf numFmtId="0" fontId="4" fillId="0" borderId="1" xfId="0" applyFont="1" applyBorder="1" applyAlignment="1">
      <alignment horizontal="center" vertical="center" wrapText="1"/>
    </xf>
    <xf numFmtId="49" fontId="4" fillId="3" borderId="1" xfId="0" applyNumberFormat="1" applyFont="1" applyFill="1" applyBorder="1" applyAlignment="1">
      <alignment vertical="center" wrapText="1"/>
    </xf>
    <xf numFmtId="0" fontId="5" fillId="0" borderId="0" xfId="0" applyFont="1"/>
    <xf numFmtId="0" fontId="6" fillId="0" borderId="1" xfId="0" applyFont="1" applyBorder="1" applyAlignment="1">
      <alignment vertical="center" wrapText="1"/>
    </xf>
    <xf numFmtId="0" fontId="2" fillId="0" borderId="1" xfId="0" applyFont="1" applyBorder="1"/>
    <xf numFmtId="0" fontId="2" fillId="0" borderId="1" xfId="0" applyFont="1" applyBorder="1" applyAlignment="1">
      <alignment wrapText="1"/>
    </xf>
    <xf numFmtId="0" fontId="4" fillId="0" borderId="1" xfId="0" applyFont="1" applyBorder="1" applyAlignment="1">
      <alignment wrapText="1"/>
    </xf>
    <xf numFmtId="0" fontId="4" fillId="0" borderId="1" xfId="0" applyFont="1" applyBorder="1"/>
    <xf numFmtId="49" fontId="6" fillId="3" borderId="1" xfId="0" applyNumberFormat="1" applyFont="1" applyFill="1" applyBorder="1" applyAlignment="1">
      <alignment vertical="center" wrapText="1"/>
    </xf>
    <xf numFmtId="0" fontId="6" fillId="0" borderId="1" xfId="0" applyFont="1" applyBorder="1" applyAlignment="1">
      <alignment wrapText="1"/>
    </xf>
    <xf numFmtId="0" fontId="6" fillId="0" borderId="1" xfId="0" applyFont="1" applyBorder="1"/>
    <xf numFmtId="0" fontId="10" fillId="0" borderId="0" xfId="0" applyFont="1"/>
    <xf numFmtId="164" fontId="8" fillId="0" borderId="1" xfId="0" applyNumberFormat="1" applyFont="1" applyBorder="1" applyAlignment="1">
      <alignment horizontal="center" vertical="center"/>
    </xf>
    <xf numFmtId="0" fontId="2" fillId="0" borderId="1" xfId="0" applyFont="1" applyBorder="1" applyAlignment="1">
      <alignment horizontal="center" wrapText="1"/>
    </xf>
    <xf numFmtId="0" fontId="4" fillId="0" borderId="1" xfId="0" applyFont="1" applyBorder="1" applyAlignment="1">
      <alignment horizontal="center" wrapText="1"/>
    </xf>
    <xf numFmtId="0" fontId="6" fillId="0" borderId="1" xfId="0" applyFont="1" applyBorder="1" applyAlignment="1">
      <alignment horizontal="center" wrapText="1"/>
    </xf>
    <xf numFmtId="0" fontId="3" fillId="2" borderId="1" xfId="0" applyFont="1" applyFill="1" applyBorder="1" applyAlignment="1">
      <alignment wrapText="1"/>
    </xf>
    <xf numFmtId="0" fontId="3" fillId="2" borderId="1" xfId="0" applyFont="1" applyFill="1" applyBorder="1"/>
    <xf numFmtId="0" fontId="2" fillId="2" borderId="1" xfId="0" applyFont="1" applyFill="1" applyBorder="1" applyAlignment="1">
      <alignment horizontal="center" wrapText="1"/>
    </xf>
    <xf numFmtId="0" fontId="0" fillId="0" borderId="1" xfId="0" applyBorder="1"/>
    <xf numFmtId="0" fontId="5" fillId="0" borderId="1" xfId="0" applyFont="1" applyBorder="1"/>
    <xf numFmtId="2" fontId="12" fillId="0" borderId="1" xfId="0" applyNumberFormat="1" applyFont="1" applyBorder="1" applyAlignment="1">
      <alignment horizontal="center" vertical="center"/>
    </xf>
    <xf numFmtId="0" fontId="2" fillId="3" borderId="1" xfId="0" applyFont="1" applyFill="1" applyBorder="1"/>
    <xf numFmtId="0" fontId="0" fillId="3" borderId="0" xfId="0" applyFill="1"/>
    <xf numFmtId="0" fontId="6" fillId="0" borderId="1" xfId="0" applyFont="1" applyBorder="1" applyAlignment="1">
      <alignment horizontal="center" vertical="center" wrapText="1"/>
    </xf>
    <xf numFmtId="0" fontId="2" fillId="0" borderId="1" xfId="0" applyFont="1" applyBorder="1" applyAlignment="1">
      <alignment horizontal="center"/>
    </xf>
    <xf numFmtId="0" fontId="6" fillId="0" borderId="1" xfId="0" applyFont="1" applyBorder="1" applyAlignment="1">
      <alignment horizontal="center"/>
    </xf>
    <xf numFmtId="0" fontId="4" fillId="0" borderId="1" xfId="0" applyFont="1" applyBorder="1" applyAlignment="1">
      <alignment horizontal="center"/>
    </xf>
    <xf numFmtId="49" fontId="11" fillId="0" borderId="1" xfId="0" applyNumberFormat="1" applyFont="1" applyBorder="1" applyAlignment="1" applyProtection="1">
      <alignment horizontal="center" vertical="center" wrapText="1"/>
    </xf>
    <xf numFmtId="0" fontId="11" fillId="0" borderId="1" xfId="0" applyFont="1" applyBorder="1" applyAlignment="1">
      <alignment wrapText="1"/>
    </xf>
    <xf numFmtId="0" fontId="2" fillId="0" borderId="1" xfId="0" applyFont="1" applyBorder="1" applyAlignment="1">
      <alignment horizontal="center" vertical="center" wrapText="1"/>
    </xf>
    <xf numFmtId="49" fontId="11" fillId="0" borderId="1" xfId="0" applyNumberFormat="1" applyFont="1" applyBorder="1" applyAlignment="1" applyProtection="1">
      <alignment horizontal="left" vertical="center" wrapText="1"/>
    </xf>
    <xf numFmtId="49" fontId="13" fillId="0" borderId="1" xfId="0" applyNumberFormat="1" applyFont="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2" fillId="0" borderId="1" xfId="0" applyFont="1" applyBorder="1" applyAlignment="1">
      <alignment horizontal="center" vertical="center" wrapText="1"/>
    </xf>
    <xf numFmtId="0" fontId="15" fillId="0" borderId="1" xfId="0" applyFont="1" applyBorder="1"/>
    <xf numFmtId="0" fontId="11" fillId="0" borderId="1" xfId="0" applyFont="1" applyBorder="1" applyAlignment="1">
      <alignment horizontal="center" wrapText="1"/>
    </xf>
    <xf numFmtId="0" fontId="15" fillId="0" borderId="0" xfId="0" applyFont="1"/>
    <xf numFmtId="0" fontId="16" fillId="0" borderId="1" xfId="0" applyFont="1" applyBorder="1"/>
    <xf numFmtId="0" fontId="13" fillId="0" borderId="1" xfId="0" applyFont="1" applyBorder="1" applyAlignment="1">
      <alignment wrapText="1"/>
    </xf>
    <xf numFmtId="0" fontId="13" fillId="0" borderId="1" xfId="0" applyFont="1" applyBorder="1" applyAlignment="1">
      <alignment horizontal="center" wrapText="1"/>
    </xf>
    <xf numFmtId="0" fontId="16" fillId="0" borderId="0" xfId="0" applyFont="1"/>
    <xf numFmtId="0" fontId="11" fillId="0" borderId="1" xfId="0" applyFont="1" applyBorder="1"/>
    <xf numFmtId="0" fontId="1" fillId="0" borderId="0" xfId="0" applyFont="1" applyAlignment="1">
      <alignment horizontal="center" vertical="center"/>
    </xf>
    <xf numFmtId="0" fontId="2" fillId="0" borderId="1" xfId="0" applyFont="1" applyBorder="1" applyAlignment="1">
      <alignment horizontal="center" vertical="center" wrapText="1"/>
    </xf>
    <xf numFmtId="0" fontId="5" fillId="0" borderId="0" xfId="0" applyFont="1" applyAlignment="1"/>
    <xf numFmtId="0" fontId="18" fillId="0" borderId="1" xfId="0" applyFont="1" applyBorder="1"/>
    <xf numFmtId="0" fontId="14" fillId="0" borderId="1" xfId="0" applyFont="1" applyBorder="1" applyAlignment="1">
      <alignment wrapText="1"/>
    </xf>
    <xf numFmtId="0" fontId="14" fillId="0" borderId="1" xfId="0" applyFont="1" applyBorder="1" applyAlignment="1">
      <alignment horizontal="center" wrapText="1"/>
    </xf>
    <xf numFmtId="0" fontId="18" fillId="0" borderId="0" xfId="0" applyFont="1"/>
    <xf numFmtId="0" fontId="20" fillId="0" borderId="0" xfId="0" applyFont="1"/>
    <xf numFmtId="0" fontId="13" fillId="0" borderId="1" xfId="0" applyFont="1" applyBorder="1"/>
    <xf numFmtId="0" fontId="13" fillId="0" borderId="0" xfId="0" applyFont="1"/>
    <xf numFmtId="0" fontId="11" fillId="0" borderId="0" xfId="0" applyFont="1"/>
    <xf numFmtId="49" fontId="11" fillId="0" borderId="2" xfId="0" applyNumberFormat="1" applyFont="1" applyBorder="1" applyAlignment="1" applyProtection="1">
      <alignment horizontal="left" vertical="center" wrapText="1"/>
    </xf>
    <xf numFmtId="2"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xf>
    <xf numFmtId="2" fontId="0" fillId="0" borderId="0" xfId="0" applyNumberFormat="1"/>
    <xf numFmtId="2" fontId="5" fillId="0" borderId="0" xfId="0" applyNumberFormat="1" applyFont="1" applyAlignment="1"/>
    <xf numFmtId="2" fontId="2"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2" fontId="8" fillId="2" borderId="1" xfId="0" applyNumberFormat="1" applyFont="1" applyFill="1" applyBorder="1" applyAlignment="1">
      <alignment horizontal="center" vertical="center"/>
    </xf>
    <xf numFmtId="2" fontId="17" fillId="0" borderId="1" xfId="0" applyNumberFormat="1" applyFont="1" applyBorder="1" applyAlignment="1">
      <alignment horizontal="center" vertical="center"/>
    </xf>
    <xf numFmtId="2" fontId="19" fillId="0" borderId="1" xfId="0" applyNumberFormat="1" applyFont="1" applyBorder="1" applyAlignment="1">
      <alignment horizontal="center" vertical="center"/>
    </xf>
    <xf numFmtId="2" fontId="12" fillId="0" borderId="1"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xf>
    <xf numFmtId="0" fontId="1" fillId="0" borderId="0" xfId="0" applyFont="1" applyAlignment="1">
      <alignment horizontal="center" vertical="center"/>
    </xf>
    <xf numFmtId="0" fontId="5" fillId="0" borderId="0" xfId="0" applyFont="1" applyAlignment="1"/>
    <xf numFmtId="0" fontId="2" fillId="0" borderId="1" xfId="0" applyFont="1" applyBorder="1" applyAlignment="1">
      <alignment horizontal="center" vertical="center" wrapText="1"/>
    </xf>
    <xf numFmtId="2" fontId="12" fillId="3" borderId="1" xfId="0" applyNumberFormat="1" applyFont="1" applyFill="1" applyBorder="1" applyAlignment="1">
      <alignment horizontal="center" vertical="center"/>
    </xf>
    <xf numFmtId="2" fontId="12" fillId="3" borderId="1" xfId="0" applyNumberFormat="1" applyFont="1" applyFill="1" applyBorder="1" applyAlignment="1">
      <alignment horizontal="center" vertical="center" wrapText="1"/>
    </xf>
    <xf numFmtId="2" fontId="15" fillId="0" borderId="0" xfId="0" applyNumberFormat="1" applyFont="1"/>
    <xf numFmtId="2" fontId="7"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0" fontId="3" fillId="4" borderId="1" xfId="0" applyFont="1" applyFill="1" applyBorder="1" applyAlignment="1">
      <alignment vertical="center" wrapText="1"/>
    </xf>
    <xf numFmtId="0" fontId="2" fillId="4" borderId="1" xfId="0" applyFont="1" applyFill="1" applyBorder="1" applyAlignment="1">
      <alignment horizontal="center" vertical="center" wrapText="1"/>
    </xf>
    <xf numFmtId="49" fontId="4" fillId="4" borderId="1" xfId="0" applyNumberFormat="1" applyFont="1" applyFill="1" applyBorder="1" applyAlignment="1">
      <alignment vertical="center" wrapText="1"/>
    </xf>
    <xf numFmtId="2" fontId="8"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49" fontId="4" fillId="5" borderId="1" xfId="0" applyNumberFormat="1" applyFont="1" applyFill="1" applyBorder="1" applyAlignment="1">
      <alignment vertical="center" wrapText="1"/>
    </xf>
    <xf numFmtId="2" fontId="8" fillId="5"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49" fontId="4" fillId="6" borderId="1" xfId="0" applyNumberFormat="1" applyFont="1" applyFill="1" applyBorder="1" applyAlignment="1">
      <alignment vertical="center" wrapText="1"/>
    </xf>
    <xf numFmtId="2" fontId="8" fillId="6" borderId="1" xfId="0" applyNumberFormat="1" applyFont="1" applyFill="1" applyBorder="1" applyAlignment="1">
      <alignment horizontal="center" vertical="center" wrapText="1"/>
    </xf>
    <xf numFmtId="0" fontId="4" fillId="6" borderId="1" xfId="0" applyFont="1" applyFill="1" applyBorder="1" applyAlignment="1">
      <alignment wrapText="1"/>
    </xf>
    <xf numFmtId="0" fontId="4" fillId="6" borderId="1" xfId="0" applyFont="1" applyFill="1" applyBorder="1"/>
    <xf numFmtId="0" fontId="4" fillId="6" borderId="1" xfId="0" applyFont="1" applyFill="1" applyBorder="1" applyAlignment="1">
      <alignment horizontal="center" wrapText="1"/>
    </xf>
    <xf numFmtId="49" fontId="6" fillId="6" borderId="1" xfId="0" applyNumberFormat="1" applyFont="1" applyFill="1" applyBorder="1" applyAlignment="1">
      <alignment vertical="center" wrapText="1"/>
    </xf>
    <xf numFmtId="2" fontId="8" fillId="6" borderId="1" xfId="0" applyNumberFormat="1" applyFont="1" applyFill="1" applyBorder="1" applyAlignment="1">
      <alignment horizontal="center" vertical="center"/>
    </xf>
    <xf numFmtId="0" fontId="0" fillId="0" borderId="0" xfId="0" applyAlignment="1"/>
    <xf numFmtId="0" fontId="22" fillId="0" borderId="0" xfId="0" applyFont="1"/>
    <xf numFmtId="0" fontId="2"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7" borderId="1" xfId="0" applyFont="1" applyFill="1" applyBorder="1" applyAlignment="1">
      <alignment vertical="center" wrapText="1"/>
    </xf>
    <xf numFmtId="49" fontId="4" fillId="7" borderId="1" xfId="0" applyNumberFormat="1" applyFont="1" applyFill="1" applyBorder="1" applyAlignment="1">
      <alignment vertical="center" wrapText="1"/>
    </xf>
    <xf numFmtId="0" fontId="0" fillId="7" borderId="0" xfId="0" applyFill="1"/>
    <xf numFmtId="0" fontId="2" fillId="8" borderId="1" xfId="0" applyFont="1" applyFill="1" applyBorder="1" applyAlignment="1">
      <alignment horizontal="center" vertical="center" wrapText="1"/>
    </xf>
    <xf numFmtId="0" fontId="3" fillId="8" borderId="1" xfId="0" applyFont="1" applyFill="1" applyBorder="1" applyAlignment="1">
      <alignment vertical="center" wrapText="1"/>
    </xf>
    <xf numFmtId="49" fontId="4" fillId="8" borderId="1" xfId="0" applyNumberFormat="1" applyFont="1" applyFill="1" applyBorder="1" applyAlignment="1">
      <alignment vertical="center" wrapText="1"/>
    </xf>
    <xf numFmtId="0" fontId="2" fillId="9" borderId="1" xfId="0" applyFont="1" applyFill="1" applyBorder="1" applyAlignment="1">
      <alignment horizontal="center" vertical="center" wrapText="1"/>
    </xf>
    <xf numFmtId="0" fontId="4" fillId="9" borderId="1" xfId="0" applyFont="1" applyFill="1" applyBorder="1" applyAlignment="1">
      <alignment vertical="center" wrapText="1"/>
    </xf>
    <xf numFmtId="0" fontId="2" fillId="9" borderId="1" xfId="0" applyFont="1" applyFill="1" applyBorder="1" applyAlignment="1">
      <alignment vertical="center" wrapText="1"/>
    </xf>
    <xf numFmtId="49" fontId="4" fillId="9" borderId="1" xfId="0" applyNumberFormat="1" applyFont="1" applyFill="1" applyBorder="1" applyAlignment="1">
      <alignment vertical="center" wrapText="1"/>
    </xf>
    <xf numFmtId="0" fontId="4" fillId="9" borderId="1" xfId="0" applyFont="1" applyFill="1" applyBorder="1"/>
    <xf numFmtId="0" fontId="4" fillId="9" borderId="1" xfId="0" applyFont="1" applyFill="1" applyBorder="1" applyAlignment="1">
      <alignment wrapText="1"/>
    </xf>
    <xf numFmtId="0" fontId="4" fillId="9" borderId="1" xfId="0" applyFont="1" applyFill="1" applyBorder="1" applyAlignment="1">
      <alignment horizontal="center" wrapText="1"/>
    </xf>
    <xf numFmtId="49" fontId="6" fillId="9" borderId="1" xfId="0" applyNumberFormat="1" applyFont="1" applyFill="1" applyBorder="1" applyAlignment="1">
      <alignment vertical="center" wrapText="1"/>
    </xf>
    <xf numFmtId="0" fontId="2" fillId="8" borderId="1" xfId="0" applyFont="1" applyFill="1" applyBorder="1"/>
    <xf numFmtId="0" fontId="3" fillId="8" borderId="1" xfId="0" applyFont="1" applyFill="1" applyBorder="1" applyAlignment="1">
      <alignment wrapText="1"/>
    </xf>
    <xf numFmtId="0" fontId="3" fillId="8" borderId="1" xfId="0" applyFont="1" applyFill="1" applyBorder="1"/>
    <xf numFmtId="0" fontId="2" fillId="8" borderId="1" xfId="0" applyFont="1" applyFill="1" applyBorder="1" applyAlignment="1">
      <alignment horizontal="center" wrapText="1"/>
    </xf>
    <xf numFmtId="0" fontId="0" fillId="8" borderId="0" xfId="0" applyFill="1"/>
    <xf numFmtId="49" fontId="11" fillId="0" borderId="1" xfId="0" applyNumberFormat="1" applyFont="1" applyBorder="1" applyAlignment="1" applyProtection="1">
      <alignment horizontal="center" wrapText="1"/>
    </xf>
    <xf numFmtId="49" fontId="13" fillId="0" borderId="1" xfId="0" applyNumberFormat="1" applyFont="1" applyBorder="1" applyAlignment="1" applyProtection="1">
      <alignment horizontal="center" wrapText="1"/>
    </xf>
    <xf numFmtId="0" fontId="2" fillId="7" borderId="1" xfId="0" applyFont="1" applyFill="1" applyBorder="1" applyAlignment="1">
      <alignment horizontal="center" wrapText="1"/>
    </xf>
    <xf numFmtId="0" fontId="2" fillId="9" borderId="1" xfId="0" applyFont="1" applyFill="1" applyBorder="1" applyAlignment="1">
      <alignment horizontal="center" wrapText="1"/>
    </xf>
    <xf numFmtId="49" fontId="14" fillId="0" borderId="1" xfId="0" applyNumberFormat="1" applyFont="1" applyBorder="1" applyAlignment="1" applyProtection="1">
      <alignment horizontal="center" wrapText="1"/>
    </xf>
    <xf numFmtId="2" fontId="5" fillId="0" borderId="0" xfId="0" applyNumberFormat="1" applyFont="1"/>
    <xf numFmtId="164" fontId="9" fillId="0" borderId="1" xfId="0" applyNumberFormat="1" applyFont="1" applyBorder="1" applyAlignment="1">
      <alignment horizontal="center" vertical="center"/>
    </xf>
    <xf numFmtId="0" fontId="13" fillId="9" borderId="1" xfId="0" applyFont="1" applyFill="1" applyBorder="1"/>
    <xf numFmtId="0" fontId="13" fillId="9" borderId="1" xfId="0" applyFont="1" applyFill="1" applyBorder="1" applyAlignment="1">
      <alignment wrapText="1"/>
    </xf>
    <xf numFmtId="0" fontId="13" fillId="9" borderId="1" xfId="0" applyFont="1" applyFill="1" applyBorder="1" applyAlignment="1">
      <alignment horizontal="center" wrapText="1"/>
    </xf>
    <xf numFmtId="0" fontId="16" fillId="9" borderId="1" xfId="0" applyFont="1" applyFill="1" applyBorder="1"/>
    <xf numFmtId="0" fontId="16" fillId="3" borderId="1" xfId="0" applyFont="1" applyFill="1" applyBorder="1"/>
    <xf numFmtId="0" fontId="13" fillId="3" borderId="1" xfId="0" applyFont="1" applyFill="1" applyBorder="1" applyAlignment="1">
      <alignment wrapText="1"/>
    </xf>
    <xf numFmtId="0" fontId="13" fillId="3" borderId="1" xfId="0" applyFont="1" applyFill="1" applyBorder="1" applyAlignment="1">
      <alignment horizontal="center" wrapText="1"/>
    </xf>
    <xf numFmtId="0" fontId="15" fillId="3" borderId="0" xfId="0" applyFont="1" applyFill="1"/>
    <xf numFmtId="0" fontId="11" fillId="3" borderId="1" xfId="0" applyFont="1" applyFill="1" applyBorder="1" applyAlignment="1">
      <alignment wrapText="1"/>
    </xf>
    <xf numFmtId="0" fontId="11" fillId="3" borderId="0" xfId="0" applyFont="1" applyFill="1" applyBorder="1" applyAlignment="1">
      <alignment wrapText="1"/>
    </xf>
    <xf numFmtId="0" fontId="11" fillId="3" borderId="1" xfId="0" applyFont="1" applyFill="1" applyBorder="1"/>
    <xf numFmtId="0" fontId="23" fillId="0" borderId="0" xfId="0" applyFont="1"/>
    <xf numFmtId="0" fontId="7" fillId="0" borderId="1" xfId="0" applyFont="1" applyFill="1" applyBorder="1" applyAlignment="1">
      <alignment wrapText="1"/>
    </xf>
    <xf numFmtId="0" fontId="11" fillId="3" borderId="1" xfId="0" applyFont="1" applyFill="1" applyBorder="1" applyAlignment="1">
      <alignment horizontal="center" wrapText="1"/>
    </xf>
    <xf numFmtId="49" fontId="11" fillId="3" borderId="1" xfId="0" applyNumberFormat="1" applyFont="1" applyFill="1" applyBorder="1" applyAlignment="1" applyProtection="1">
      <alignment horizontal="center" wrapText="1"/>
    </xf>
    <xf numFmtId="49" fontId="13" fillId="3" borderId="1" xfId="0" applyNumberFormat="1" applyFont="1" applyFill="1" applyBorder="1" applyAlignment="1" applyProtection="1">
      <alignment horizontal="center" wrapText="1"/>
    </xf>
    <xf numFmtId="0" fontId="2" fillId="3" borderId="1" xfId="0" applyFont="1" applyFill="1" applyBorder="1" applyAlignment="1">
      <alignment horizontal="center" wrapText="1"/>
    </xf>
    <xf numFmtId="0" fontId="4" fillId="3" borderId="1" xfId="0" applyFont="1" applyFill="1" applyBorder="1" applyAlignment="1">
      <alignment horizontal="center" wrapText="1"/>
    </xf>
    <xf numFmtId="49" fontId="6" fillId="8" borderId="1" xfId="0" applyNumberFormat="1" applyFont="1" applyFill="1" applyBorder="1" applyAlignment="1">
      <alignment vertical="center" wrapText="1"/>
    </xf>
    <xf numFmtId="0" fontId="4" fillId="10" borderId="1" xfId="0" applyFont="1" applyFill="1" applyBorder="1"/>
    <xf numFmtId="0" fontId="4" fillId="10" borderId="1" xfId="0" applyFont="1" applyFill="1" applyBorder="1" applyAlignment="1">
      <alignment wrapText="1"/>
    </xf>
    <xf numFmtId="0" fontId="4" fillId="10" borderId="1" xfId="0" applyFont="1" applyFill="1" applyBorder="1" applyAlignment="1">
      <alignment horizontal="center" wrapText="1"/>
    </xf>
    <xf numFmtId="49" fontId="6" fillId="10" borderId="1" xfId="0" applyNumberFormat="1" applyFont="1" applyFill="1" applyBorder="1" applyAlignment="1">
      <alignment vertical="center" wrapText="1"/>
    </xf>
    <xf numFmtId="0" fontId="5" fillId="9" borderId="1" xfId="0" applyFont="1" applyFill="1" applyBorder="1"/>
    <xf numFmtId="0" fontId="2" fillId="0" borderId="1" xfId="0" applyFont="1" applyBorder="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0" xfId="0" applyAlignment="1"/>
    <xf numFmtId="0" fontId="5" fillId="0" borderId="0" xfId="0" applyFont="1" applyAlignment="1"/>
    <xf numFmtId="165" fontId="0" fillId="0" borderId="0" xfId="0" applyNumberFormat="1"/>
    <xf numFmtId="165" fontId="5" fillId="0" borderId="0" xfId="0" applyNumberFormat="1" applyFont="1" applyAlignment="1"/>
    <xf numFmtId="165" fontId="2" fillId="0" borderId="1" xfId="0" applyNumberFormat="1" applyFont="1" applyBorder="1" applyAlignment="1">
      <alignment horizontal="center" vertical="center" wrapText="1"/>
    </xf>
    <xf numFmtId="165" fontId="8" fillId="7" borderId="1" xfId="0" applyNumberFormat="1" applyFont="1" applyFill="1" applyBorder="1" applyAlignment="1">
      <alignment horizontal="center" vertical="center" wrapText="1"/>
    </xf>
    <xf numFmtId="165" fontId="8" fillId="8" borderId="1" xfId="0" applyNumberFormat="1" applyFont="1" applyFill="1" applyBorder="1" applyAlignment="1">
      <alignment horizontal="center" vertical="center" wrapText="1"/>
    </xf>
    <xf numFmtId="165" fontId="8" fillId="9"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xf>
    <xf numFmtId="165" fontId="9" fillId="0" borderId="1" xfId="0" applyNumberFormat="1" applyFont="1" applyBorder="1" applyAlignment="1">
      <alignment horizontal="center" vertical="center"/>
    </xf>
    <xf numFmtId="165" fontId="7" fillId="0" borderId="1" xfId="0" applyNumberFormat="1" applyFont="1" applyBorder="1" applyAlignment="1">
      <alignment horizontal="center" vertical="center"/>
    </xf>
    <xf numFmtId="165" fontId="8" fillId="9" borderId="1"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8" fillId="3" borderId="1" xfId="0" applyNumberFormat="1" applyFont="1" applyFill="1" applyBorder="1" applyAlignment="1">
      <alignment horizontal="center" vertical="center"/>
    </xf>
    <xf numFmtId="165" fontId="7" fillId="3" borderId="1" xfId="0" applyNumberFormat="1" applyFont="1" applyFill="1" applyBorder="1" applyAlignment="1">
      <alignment horizontal="center" vertical="center"/>
    </xf>
    <xf numFmtId="165" fontId="9" fillId="3" borderId="1" xfId="0" applyNumberFormat="1" applyFont="1" applyFill="1" applyBorder="1" applyAlignment="1">
      <alignment horizontal="center" vertical="center"/>
    </xf>
    <xf numFmtId="165" fontId="8" fillId="8" borderId="1" xfId="0" applyNumberFormat="1" applyFont="1" applyFill="1" applyBorder="1" applyAlignment="1">
      <alignment horizontal="center" vertical="center"/>
    </xf>
    <xf numFmtId="165" fontId="8" fillId="10" borderId="1" xfId="0" applyNumberFormat="1" applyFont="1" applyFill="1" applyBorder="1" applyAlignment="1">
      <alignment horizontal="center" vertical="center"/>
    </xf>
    <xf numFmtId="165" fontId="12" fillId="0" borderId="1" xfId="0" applyNumberFormat="1" applyFont="1" applyBorder="1" applyAlignment="1">
      <alignment horizontal="center" vertical="center"/>
    </xf>
    <xf numFmtId="165" fontId="19" fillId="0" borderId="1" xfId="0" applyNumberFormat="1" applyFont="1" applyBorder="1" applyAlignment="1">
      <alignment horizontal="center" vertical="center"/>
    </xf>
    <xf numFmtId="165" fontId="12" fillId="3" borderId="1" xfId="0" applyNumberFormat="1" applyFont="1" applyFill="1" applyBorder="1" applyAlignment="1">
      <alignment horizontal="center" vertical="center"/>
    </xf>
    <xf numFmtId="165" fontId="17" fillId="9" borderId="1" xfId="0" applyNumberFormat="1" applyFont="1" applyFill="1" applyBorder="1" applyAlignment="1">
      <alignment horizontal="center" vertical="center"/>
    </xf>
    <xf numFmtId="165" fontId="12" fillId="0" borderId="1" xfId="0" applyNumberFormat="1" applyFont="1" applyBorder="1" applyAlignment="1">
      <alignment horizontal="center" vertical="center" wrapText="1"/>
    </xf>
    <xf numFmtId="165" fontId="12" fillId="4" borderId="1" xfId="0" applyNumberFormat="1" applyFont="1" applyFill="1" applyBorder="1" applyAlignment="1">
      <alignment horizontal="center" vertical="center" wrapText="1"/>
    </xf>
    <xf numFmtId="165" fontId="12" fillId="3" borderId="1" xfId="0" applyNumberFormat="1" applyFont="1" applyFill="1" applyBorder="1" applyAlignment="1">
      <alignment horizontal="center" vertical="center" wrapText="1"/>
    </xf>
    <xf numFmtId="165" fontId="19" fillId="0" borderId="1" xfId="0" applyNumberFormat="1" applyFont="1" applyBorder="1" applyAlignment="1">
      <alignment horizontal="center" vertical="center" wrapText="1"/>
    </xf>
    <xf numFmtId="165" fontId="17" fillId="3" borderId="1" xfId="0" applyNumberFormat="1" applyFont="1" applyFill="1" applyBorder="1" applyAlignment="1">
      <alignment horizontal="center" vertical="center"/>
    </xf>
    <xf numFmtId="165" fontId="17" fillId="0" borderId="1" xfId="0" applyNumberFormat="1" applyFont="1" applyBorder="1" applyAlignment="1">
      <alignment horizontal="center" vertical="center" wrapText="1"/>
    </xf>
    <xf numFmtId="165" fontId="13" fillId="9" borderId="1" xfId="0" applyNumberFormat="1" applyFont="1" applyFill="1" applyBorder="1" applyAlignment="1">
      <alignment horizontal="center" vertical="center" wrapText="1"/>
    </xf>
    <xf numFmtId="165" fontId="11" fillId="3" borderId="1" xfId="0" applyNumberFormat="1" applyFont="1" applyFill="1" applyBorder="1" applyAlignment="1">
      <alignment horizontal="center" vertical="center" wrapText="1"/>
    </xf>
    <xf numFmtId="165"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xf>
    <xf numFmtId="0" fontId="15" fillId="3" borderId="0" xfId="0" applyFont="1" applyFill="1" applyBorder="1"/>
    <xf numFmtId="49" fontId="25" fillId="3" borderId="1" xfId="0" applyNumberFormat="1" applyFont="1" applyFill="1" applyBorder="1" applyAlignment="1">
      <alignment vertical="center" wrapText="1"/>
    </xf>
    <xf numFmtId="0" fontId="0" fillId="3" borderId="0" xfId="0" applyFont="1" applyFill="1"/>
    <xf numFmtId="0" fontId="13" fillId="3" borderId="1" xfId="0" applyFont="1" applyFill="1" applyBorder="1"/>
    <xf numFmtId="0" fontId="16" fillId="3" borderId="0" xfId="0" applyFont="1" applyFill="1"/>
    <xf numFmtId="165" fontId="5" fillId="0" borderId="0" xfId="0" applyNumberFormat="1" applyFont="1"/>
    <xf numFmtId="49" fontId="0" fillId="0" borderId="0" xfId="0" applyNumberFormat="1"/>
    <xf numFmtId="0" fontId="6" fillId="9" borderId="1" xfId="0" applyFont="1" applyFill="1" applyBorder="1" applyAlignment="1">
      <alignment vertical="center" wrapText="1"/>
    </xf>
    <xf numFmtId="165" fontId="9"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 xfId="0" applyFont="1" applyFill="1" applyBorder="1" applyAlignment="1">
      <alignment horizontal="center" wrapText="1"/>
    </xf>
    <xf numFmtId="4" fontId="10" fillId="0" borderId="0" xfId="0" applyNumberFormat="1" applyFont="1"/>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0" xfId="0" applyAlignment="1"/>
    <xf numFmtId="165" fontId="11" fillId="3"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wrapText="1"/>
    </xf>
    <xf numFmtId="0" fontId="0" fillId="0" borderId="0" xfId="0" applyFill="1"/>
    <xf numFmtId="165" fontId="15" fillId="3" borderId="0" xfId="0" applyNumberFormat="1" applyFont="1" applyFill="1"/>
    <xf numFmtId="0" fontId="15" fillId="0" borderId="0" xfId="0" applyFont="1" applyBorder="1"/>
    <xf numFmtId="165" fontId="15" fillId="0" borderId="0" xfId="0" applyNumberFormat="1" applyFont="1"/>
    <xf numFmtId="4" fontId="15" fillId="0" borderId="0" xfId="0" applyNumberFormat="1" applyFont="1"/>
    <xf numFmtId="0" fontId="6" fillId="0" borderId="1" xfId="0" applyFont="1" applyFill="1" applyBorder="1" applyAlignment="1">
      <alignment vertical="center" wrapText="1"/>
    </xf>
    <xf numFmtId="0" fontId="6" fillId="0" borderId="1" xfId="0" applyFont="1" applyFill="1" applyBorder="1" applyAlignment="1">
      <alignment horizontal="center" wrapText="1"/>
    </xf>
    <xf numFmtId="0" fontId="2" fillId="0" borderId="1" xfId="0" applyFont="1" applyFill="1" applyBorder="1" applyAlignment="1">
      <alignment vertical="center" wrapText="1"/>
    </xf>
    <xf numFmtId="0" fontId="2" fillId="0" borderId="1" xfId="0" applyFont="1" applyFill="1" applyBorder="1" applyAlignment="1">
      <alignment horizontal="center" wrapText="1"/>
    </xf>
    <xf numFmtId="49" fontId="2"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wrapText="1"/>
    </xf>
    <xf numFmtId="0" fontId="4" fillId="0" borderId="1" xfId="0" applyFont="1" applyFill="1" applyBorder="1"/>
    <xf numFmtId="0" fontId="4" fillId="0" borderId="1" xfId="0" applyFont="1" applyFill="1" applyBorder="1" applyAlignment="1">
      <alignment wrapText="1"/>
    </xf>
    <xf numFmtId="0" fontId="2" fillId="0" borderId="1" xfId="0" applyFont="1" applyFill="1" applyBorder="1" applyAlignment="1">
      <alignment horizontal="center"/>
    </xf>
    <xf numFmtId="0" fontId="6" fillId="0" borderId="1" xfId="0" applyFont="1" applyFill="1" applyBorder="1"/>
    <xf numFmtId="0" fontId="6" fillId="0" borderId="1" xfId="0" applyFont="1" applyFill="1" applyBorder="1" applyAlignment="1">
      <alignment wrapText="1"/>
    </xf>
    <xf numFmtId="0" fontId="2" fillId="0" borderId="1" xfId="0" applyFont="1" applyFill="1" applyBorder="1"/>
    <xf numFmtId="0" fontId="6" fillId="0" borderId="1" xfId="0" applyFont="1" applyFill="1" applyBorder="1" applyAlignment="1">
      <alignment horizontal="center"/>
    </xf>
    <xf numFmtId="0" fontId="2" fillId="0" borderId="1" xfId="0" applyFont="1" applyFill="1" applyBorder="1" applyAlignment="1">
      <alignment wrapText="1"/>
    </xf>
    <xf numFmtId="0" fontId="4" fillId="0" borderId="1" xfId="0" applyFont="1" applyFill="1" applyBorder="1" applyAlignment="1">
      <alignment horizontal="center"/>
    </xf>
    <xf numFmtId="3" fontId="2" fillId="0" borderId="1" xfId="0" applyNumberFormat="1" applyFont="1" applyFill="1" applyBorder="1" applyAlignment="1">
      <alignment horizontal="left"/>
    </xf>
    <xf numFmtId="49" fontId="11" fillId="0" borderId="1" xfId="0" applyNumberFormat="1" applyFont="1" applyFill="1" applyBorder="1" applyAlignment="1" applyProtection="1">
      <alignment horizontal="center" wrapText="1"/>
    </xf>
    <xf numFmtId="49" fontId="13" fillId="0" borderId="1" xfId="0" applyNumberFormat="1" applyFont="1" applyFill="1" applyBorder="1" applyAlignment="1" applyProtection="1">
      <alignment horizontal="center" wrapText="1"/>
    </xf>
    <xf numFmtId="49" fontId="14" fillId="0" borderId="1" xfId="0" applyNumberFormat="1" applyFont="1" applyFill="1" applyBorder="1" applyAlignment="1" applyProtection="1">
      <alignment horizontal="center" wrapText="1"/>
    </xf>
    <xf numFmtId="49" fontId="2" fillId="7" borderId="1" xfId="0" applyNumberFormat="1" applyFont="1" applyFill="1" applyBorder="1" applyAlignment="1">
      <alignment vertical="center" wrapText="1"/>
    </xf>
    <xf numFmtId="49" fontId="2" fillId="8" borderId="1" xfId="0" applyNumberFormat="1" applyFont="1" applyFill="1" applyBorder="1" applyAlignment="1">
      <alignment vertical="center" wrapText="1"/>
    </xf>
    <xf numFmtId="49" fontId="2" fillId="9" borderId="1" xfId="0" applyNumberFormat="1" applyFont="1" applyFill="1" applyBorder="1" applyAlignment="1">
      <alignment vertical="center" wrapText="1"/>
    </xf>
    <xf numFmtId="49" fontId="2" fillId="10" borderId="1" xfId="0" applyNumberFormat="1" applyFont="1" applyFill="1" applyBorder="1" applyAlignment="1">
      <alignment vertical="center" wrapText="1"/>
    </xf>
    <xf numFmtId="165" fontId="10" fillId="0" borderId="0" xfId="0" applyNumberFormat="1" applyFont="1"/>
    <xf numFmtId="165" fontId="4" fillId="7" borderId="1" xfId="0" applyNumberFormat="1" applyFont="1" applyFill="1" applyBorder="1" applyAlignment="1">
      <alignment horizontal="center" vertical="center" wrapText="1"/>
    </xf>
    <xf numFmtId="165" fontId="4" fillId="8" borderId="1" xfId="0" applyNumberFormat="1" applyFont="1" applyFill="1" applyBorder="1" applyAlignment="1">
      <alignment horizontal="center" vertical="center" wrapText="1"/>
    </xf>
    <xf numFmtId="165" fontId="6" fillId="9"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165" fontId="4" fillId="3"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xf>
    <xf numFmtId="165" fontId="4" fillId="8" borderId="1" xfId="0" applyNumberFormat="1" applyFont="1" applyFill="1" applyBorder="1" applyAlignment="1">
      <alignment horizontal="center" vertical="center"/>
    </xf>
    <xf numFmtId="165" fontId="4" fillId="10" borderId="1" xfId="0" applyNumberFormat="1" applyFont="1" applyFill="1" applyBorder="1" applyAlignment="1">
      <alignment horizontal="center" vertical="center"/>
    </xf>
    <xf numFmtId="165" fontId="4" fillId="9" borderId="1" xfId="0" applyNumberFormat="1" applyFont="1" applyFill="1" applyBorder="1" applyAlignment="1">
      <alignment horizontal="center" vertical="center"/>
    </xf>
    <xf numFmtId="165" fontId="14" fillId="0" borderId="1" xfId="0" applyNumberFormat="1" applyFont="1" applyBorder="1" applyAlignment="1">
      <alignment horizontal="center" vertical="center"/>
    </xf>
    <xf numFmtId="165" fontId="13" fillId="9" borderId="1" xfId="0" applyNumberFormat="1" applyFont="1" applyFill="1" applyBorder="1" applyAlignment="1">
      <alignment horizontal="center" vertical="center"/>
    </xf>
    <xf numFmtId="165" fontId="13" fillId="3" borderId="1"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2" fillId="0" borderId="1" xfId="0" applyFont="1" applyFill="1" applyBorder="1" applyAlignment="1">
      <alignment vertical="center"/>
    </xf>
    <xf numFmtId="166" fontId="11" fillId="0" borderId="1" xfId="0" applyNumberFormat="1" applyFont="1" applyFill="1" applyBorder="1" applyAlignment="1" applyProtection="1">
      <alignment horizontal="left" vertical="center" wrapText="1"/>
    </xf>
    <xf numFmtId="49" fontId="11" fillId="0" borderId="1" xfId="0" applyNumberFormat="1" applyFont="1" applyFill="1" applyBorder="1" applyAlignment="1" applyProtection="1">
      <alignment horizontal="left" vertical="center" wrapText="1"/>
    </xf>
    <xf numFmtId="0" fontId="11" fillId="0" borderId="1" xfId="0" applyFont="1" applyFill="1" applyBorder="1" applyAlignment="1">
      <alignment wrapText="1"/>
    </xf>
    <xf numFmtId="0" fontId="11" fillId="0" borderId="1" xfId="0" applyFont="1" applyFill="1" applyBorder="1" applyAlignment="1">
      <alignment horizontal="center" wrapText="1"/>
    </xf>
    <xf numFmtId="165" fontId="11" fillId="0" borderId="1" xfId="0" applyNumberFormat="1" applyFont="1" applyFill="1" applyBorder="1" applyAlignment="1">
      <alignment horizontal="center" vertical="center"/>
    </xf>
    <xf numFmtId="0" fontId="14" fillId="0" borderId="1" xfId="0" applyFont="1" applyFill="1" applyBorder="1" applyAlignment="1">
      <alignment wrapText="1"/>
    </xf>
    <xf numFmtId="0" fontId="14" fillId="0" borderId="1" xfId="0" applyFont="1" applyFill="1" applyBorder="1" applyAlignment="1">
      <alignment horizontal="center" wrapText="1"/>
    </xf>
    <xf numFmtId="165" fontId="14" fillId="0" borderId="1" xfId="0" applyNumberFormat="1" applyFont="1" applyFill="1" applyBorder="1" applyAlignment="1">
      <alignment horizontal="center" vertical="center"/>
    </xf>
    <xf numFmtId="4" fontId="11" fillId="0" borderId="1" xfId="0" applyNumberFormat="1" applyFont="1" applyFill="1" applyBorder="1" applyAlignment="1" applyProtection="1">
      <alignment horizontal="right" vertical="center" wrapText="1"/>
    </xf>
    <xf numFmtId="165" fontId="11"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left" wrapText="1"/>
    </xf>
    <xf numFmtId="0" fontId="13" fillId="0" borderId="1" xfId="0" applyFont="1" applyFill="1" applyBorder="1" applyAlignment="1">
      <alignment wrapText="1"/>
    </xf>
    <xf numFmtId="0" fontId="13" fillId="0" borderId="1" xfId="0" applyFont="1" applyFill="1" applyBorder="1" applyAlignment="1">
      <alignment horizontal="center" wrapText="1"/>
    </xf>
    <xf numFmtId="165" fontId="13" fillId="0" borderId="1" xfId="0" applyNumberFormat="1" applyFont="1" applyFill="1" applyBorder="1" applyAlignment="1">
      <alignment horizontal="center" vertical="center" wrapText="1"/>
    </xf>
    <xf numFmtId="0" fontId="11" fillId="0" borderId="1" xfId="0" applyFont="1" applyFill="1" applyBorder="1"/>
    <xf numFmtId="165" fontId="0" fillId="0" borderId="0" xfId="0" applyNumberFormat="1" applyFill="1"/>
    <xf numFmtId="165" fontId="2" fillId="3" borderId="0" xfId="0" applyNumberFormat="1"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xf numFmtId="0" fontId="2" fillId="0" borderId="1" xfId="0" applyFont="1" applyBorder="1" applyAlignment="1">
      <alignment horizontal="center" vertical="center" wrapText="1"/>
    </xf>
    <xf numFmtId="165" fontId="8" fillId="0" borderId="0" xfId="0" applyNumberFormat="1" applyFont="1" applyBorder="1" applyAlignment="1">
      <alignment horizontal="center" vertical="center"/>
    </xf>
    <xf numFmtId="2" fontId="0" fillId="0" borderId="0" xfId="0" applyNumberFormat="1" applyFill="1"/>
    <xf numFmtId="2" fontId="0" fillId="0" borderId="0" xfId="0" applyNumberFormat="1" applyFill="1" applyBorder="1"/>
    <xf numFmtId="4" fontId="15" fillId="3" borderId="0" xfId="0" applyNumberFormat="1" applyFont="1" applyFill="1"/>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5" fillId="0" borderId="0" xfId="0" applyFont="1" applyAlignment="1">
      <alignment horizontal="center" wrapText="1"/>
    </xf>
    <xf numFmtId="0" fontId="25" fillId="0" borderId="1" xfId="0" applyFont="1" applyFill="1" applyBorder="1" applyAlignment="1">
      <alignment horizontal="center" wrapText="1"/>
    </xf>
    <xf numFmtId="49" fontId="11" fillId="0" borderId="1" xfId="0" applyNumberFormat="1" applyFont="1" applyBorder="1" applyAlignment="1" applyProtection="1">
      <alignment horizontal="left" wrapText="1"/>
    </xf>
    <xf numFmtId="49" fontId="13" fillId="0" borderId="1" xfId="0" applyNumberFormat="1" applyFont="1" applyBorder="1" applyAlignment="1" applyProtection="1">
      <alignment horizontal="left" wrapText="1"/>
    </xf>
    <xf numFmtId="0" fontId="2" fillId="0" borderId="1" xfId="0" applyFont="1" applyBorder="1" applyAlignment="1">
      <alignment horizontal="center" wrapText="1"/>
    </xf>
    <xf numFmtId="166" fontId="11" fillId="0" borderId="1" xfId="0" applyNumberFormat="1" applyFont="1" applyBorder="1" applyAlignment="1" applyProtection="1">
      <alignment horizontal="left" wrapText="1"/>
    </xf>
    <xf numFmtId="165" fontId="19" fillId="0" borderId="0" xfId="0" applyNumberFormat="1" applyFont="1" applyBorder="1" applyAlignment="1">
      <alignment horizontal="center" vertical="center" wrapText="1"/>
    </xf>
    <xf numFmtId="0" fontId="15" fillId="0" borderId="0" xfId="0" applyFont="1" applyBorder="1" applyAlignment="1">
      <alignment horizontal="center" wrapText="1"/>
    </xf>
    <xf numFmtId="0" fontId="2" fillId="0" borderId="1" xfId="0" applyFont="1" applyBorder="1" applyAlignment="1">
      <alignment horizontal="center" vertical="center" wrapText="1"/>
    </xf>
    <xf numFmtId="0" fontId="1" fillId="0" borderId="0" xfId="0" applyFont="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164" fontId="0" fillId="0" borderId="0" xfId="0" applyNumberFormat="1"/>
    <xf numFmtId="3" fontId="2" fillId="0" borderId="1" xfId="0" applyNumberFormat="1" applyFont="1" applyBorder="1" applyAlignment="1">
      <alignment horizontal="center" wrapText="1"/>
    </xf>
    <xf numFmtId="0" fontId="3" fillId="7" borderId="1" xfId="0" applyFont="1" applyFill="1" applyBorder="1" applyAlignment="1">
      <alignment horizontal="center" wrapText="1"/>
    </xf>
    <xf numFmtId="0" fontId="2" fillId="7" borderId="1" xfId="0" applyFont="1" applyFill="1" applyBorder="1" applyAlignment="1">
      <alignment wrapText="1"/>
    </xf>
    <xf numFmtId="49" fontId="2" fillId="7" borderId="1" xfId="0" applyNumberFormat="1" applyFont="1" applyFill="1" applyBorder="1" applyAlignment="1">
      <alignment wrapText="1"/>
    </xf>
    <xf numFmtId="165" fontId="4" fillId="7" borderId="1" xfId="0" applyNumberFormat="1" applyFont="1" applyFill="1" applyBorder="1" applyAlignment="1">
      <alignment horizontal="center" wrapText="1"/>
    </xf>
    <xf numFmtId="49" fontId="2" fillId="8" borderId="1" xfId="0" applyNumberFormat="1" applyFont="1" applyFill="1" applyBorder="1" applyAlignment="1">
      <alignment wrapText="1"/>
    </xf>
    <xf numFmtId="165" fontId="4" fillId="8" borderId="1" xfId="0" applyNumberFormat="1" applyFont="1" applyFill="1" applyBorder="1" applyAlignment="1">
      <alignment horizontal="center" wrapText="1"/>
    </xf>
    <xf numFmtId="0" fontId="6" fillId="9" borderId="1" xfId="0" applyFont="1" applyFill="1" applyBorder="1" applyAlignment="1">
      <alignment wrapText="1"/>
    </xf>
    <xf numFmtId="49" fontId="2" fillId="9" borderId="1" xfId="0" applyNumberFormat="1" applyFont="1" applyFill="1" applyBorder="1" applyAlignment="1">
      <alignment wrapText="1"/>
    </xf>
    <xf numFmtId="165" fontId="6" fillId="9" borderId="1" xfId="0" applyNumberFormat="1" applyFont="1" applyFill="1" applyBorder="1" applyAlignment="1">
      <alignment horizontal="center" wrapText="1"/>
    </xf>
    <xf numFmtId="49" fontId="2" fillId="0" borderId="1" xfId="0" applyNumberFormat="1" applyFont="1" applyFill="1" applyBorder="1" applyAlignment="1">
      <alignment wrapText="1"/>
    </xf>
    <xf numFmtId="165" fontId="4" fillId="0" borderId="1" xfId="0" applyNumberFormat="1" applyFont="1" applyBorder="1" applyAlignment="1">
      <alignment horizontal="center" wrapText="1"/>
    </xf>
    <xf numFmtId="165" fontId="4" fillId="3" borderId="1" xfId="0" applyNumberFormat="1" applyFont="1" applyFill="1" applyBorder="1" applyAlignment="1">
      <alignment horizontal="center" wrapText="1"/>
    </xf>
    <xf numFmtId="165" fontId="6" fillId="0" borderId="1" xfId="0" applyNumberFormat="1" applyFont="1" applyFill="1" applyBorder="1" applyAlignment="1">
      <alignment horizontal="center" wrapText="1"/>
    </xf>
    <xf numFmtId="165" fontId="6" fillId="3" borderId="1" xfId="0" applyNumberFormat="1" applyFont="1" applyFill="1" applyBorder="1" applyAlignment="1">
      <alignment horizontal="center" wrapText="1"/>
    </xf>
    <xf numFmtId="165" fontId="2" fillId="0" borderId="1" xfId="0" applyNumberFormat="1" applyFont="1" applyFill="1" applyBorder="1" applyAlignment="1">
      <alignment horizontal="center" wrapText="1"/>
    </xf>
    <xf numFmtId="165" fontId="2" fillId="3" borderId="1" xfId="0" applyNumberFormat="1" applyFont="1" applyFill="1" applyBorder="1" applyAlignment="1">
      <alignment horizontal="center" wrapText="1"/>
    </xf>
    <xf numFmtId="0" fontId="2" fillId="0" borderId="1" xfId="0" applyFont="1" applyFill="1" applyBorder="1" applyAlignment="1"/>
    <xf numFmtId="165" fontId="4" fillId="0" borderId="1" xfId="0" applyNumberFormat="1" applyFont="1" applyFill="1" applyBorder="1" applyAlignment="1">
      <alignment horizontal="center" wrapText="1"/>
    </xf>
    <xf numFmtId="166" fontId="11" fillId="0" borderId="1" xfId="0" applyNumberFormat="1" applyFont="1" applyFill="1" applyBorder="1" applyAlignment="1" applyProtection="1">
      <alignment horizontal="left" wrapText="1"/>
    </xf>
    <xf numFmtId="0" fontId="4" fillId="0" borderId="1" xfId="0" applyFont="1" applyFill="1" applyBorder="1" applyAlignment="1"/>
    <xf numFmtId="165" fontId="4" fillId="0" borderId="1" xfId="0" applyNumberFormat="1" applyFont="1" applyFill="1" applyBorder="1" applyAlignment="1">
      <alignment horizontal="center"/>
    </xf>
    <xf numFmtId="165" fontId="4" fillId="3" borderId="1" xfId="0" applyNumberFormat="1" applyFont="1" applyFill="1" applyBorder="1" applyAlignment="1">
      <alignment horizontal="center"/>
    </xf>
    <xf numFmtId="0" fontId="6" fillId="0" borderId="1" xfId="0" applyFont="1" applyFill="1" applyBorder="1" applyAlignment="1"/>
    <xf numFmtId="165" fontId="6" fillId="0" borderId="1" xfId="0" applyNumberFormat="1" applyFont="1" applyFill="1" applyBorder="1" applyAlignment="1">
      <alignment horizontal="center"/>
    </xf>
    <xf numFmtId="165" fontId="2" fillId="0" borderId="1" xfId="0" applyNumberFormat="1" applyFont="1" applyFill="1" applyBorder="1" applyAlignment="1">
      <alignment horizontal="center"/>
    </xf>
    <xf numFmtId="165" fontId="2" fillId="3" borderId="1" xfId="0" applyNumberFormat="1" applyFont="1" applyFill="1" applyBorder="1" applyAlignment="1">
      <alignment horizontal="center"/>
    </xf>
    <xf numFmtId="165" fontId="6" fillId="3" borderId="1" xfId="0" applyNumberFormat="1" applyFont="1" applyFill="1" applyBorder="1" applyAlignment="1">
      <alignment horizontal="center"/>
    </xf>
    <xf numFmtId="0" fontId="2" fillId="0" borderId="1" xfId="0" applyFont="1" applyBorder="1" applyAlignment="1"/>
    <xf numFmtId="0" fontId="4" fillId="9" borderId="1" xfId="0" applyFont="1" applyFill="1" applyBorder="1" applyAlignment="1"/>
    <xf numFmtId="165" fontId="4" fillId="9" borderId="1" xfId="0" applyNumberFormat="1" applyFont="1" applyFill="1" applyBorder="1" applyAlignment="1">
      <alignment horizontal="center"/>
    </xf>
    <xf numFmtId="166" fontId="14" fillId="0" borderId="1" xfId="0" applyNumberFormat="1" applyFont="1" applyFill="1" applyBorder="1" applyAlignment="1" applyProtection="1">
      <alignment horizontal="left" wrapText="1"/>
    </xf>
    <xf numFmtId="49" fontId="14" fillId="0" borderId="1" xfId="0" applyNumberFormat="1" applyFont="1" applyFill="1" applyBorder="1" applyAlignment="1" applyProtection="1">
      <alignment horizontal="left" wrapText="1"/>
    </xf>
    <xf numFmtId="0" fontId="3" fillId="8" borderId="1" xfId="0" applyFont="1" applyFill="1" applyBorder="1" applyAlignment="1"/>
    <xf numFmtId="165" fontId="4" fillId="8" borderId="1" xfId="0" applyNumberFormat="1" applyFont="1" applyFill="1" applyBorder="1" applyAlignment="1">
      <alignment horizontal="center"/>
    </xf>
    <xf numFmtId="0" fontId="4" fillId="10" borderId="1" xfId="0" applyFont="1" applyFill="1" applyBorder="1" applyAlignment="1"/>
    <xf numFmtId="165" fontId="4" fillId="10" borderId="1" xfId="0" applyNumberFormat="1" applyFont="1" applyFill="1" applyBorder="1" applyAlignment="1">
      <alignment horizontal="center"/>
    </xf>
    <xf numFmtId="165" fontId="11" fillId="0" borderId="1" xfId="0" applyNumberFormat="1" applyFont="1" applyFill="1" applyBorder="1" applyAlignment="1">
      <alignment horizontal="center"/>
    </xf>
    <xf numFmtId="165" fontId="14" fillId="0" borderId="1" xfId="0" applyNumberFormat="1" applyFont="1" applyFill="1" applyBorder="1" applyAlignment="1">
      <alignment horizontal="center"/>
    </xf>
    <xf numFmtId="4" fontId="14" fillId="0" borderId="1" xfId="0" applyNumberFormat="1" applyFont="1" applyFill="1" applyBorder="1" applyAlignment="1">
      <alignment horizontal="center"/>
    </xf>
    <xf numFmtId="4" fontId="11" fillId="0" borderId="1" xfId="0" applyNumberFormat="1" applyFont="1" applyFill="1" applyBorder="1" applyAlignment="1" applyProtection="1">
      <alignment horizontal="right" wrapText="1"/>
    </xf>
    <xf numFmtId="165" fontId="13" fillId="9" borderId="1" xfId="0" applyNumberFormat="1" applyFont="1" applyFill="1" applyBorder="1" applyAlignment="1">
      <alignment horizontal="center"/>
    </xf>
    <xf numFmtId="165" fontId="14" fillId="0" borderId="1" xfId="0" applyNumberFormat="1" applyFont="1" applyBorder="1" applyAlignment="1">
      <alignment horizontal="center"/>
    </xf>
    <xf numFmtId="4" fontId="11" fillId="0" borderId="1" xfId="0" applyNumberFormat="1" applyFont="1" applyFill="1" applyBorder="1" applyAlignment="1">
      <alignment horizontal="center" wrapText="1"/>
    </xf>
    <xf numFmtId="165" fontId="11" fillId="0" borderId="1" xfId="0" applyNumberFormat="1" applyFont="1" applyFill="1" applyBorder="1" applyAlignment="1">
      <alignment horizontal="center" wrapText="1"/>
    </xf>
    <xf numFmtId="4" fontId="14" fillId="0" borderId="1" xfId="0" applyNumberFormat="1" applyFont="1" applyFill="1" applyBorder="1" applyAlignment="1" applyProtection="1">
      <alignment horizontal="right" wrapText="1"/>
    </xf>
    <xf numFmtId="165" fontId="14" fillId="0" borderId="1" xfId="0" applyNumberFormat="1" applyFont="1" applyFill="1" applyBorder="1" applyAlignment="1">
      <alignment horizontal="center" wrapText="1"/>
    </xf>
    <xf numFmtId="165" fontId="11" fillId="3" borderId="1" xfId="0" applyNumberFormat="1" applyFont="1" applyFill="1" applyBorder="1" applyAlignment="1">
      <alignment horizontal="center"/>
    </xf>
    <xf numFmtId="165" fontId="13" fillId="0" borderId="1" xfId="0" applyNumberFormat="1" applyFont="1" applyFill="1" applyBorder="1" applyAlignment="1">
      <alignment horizontal="center" wrapText="1"/>
    </xf>
    <xf numFmtId="165" fontId="13" fillId="9" borderId="1" xfId="0" applyNumberFormat="1" applyFont="1" applyFill="1" applyBorder="1" applyAlignment="1">
      <alignment horizontal="center" wrapText="1"/>
    </xf>
    <xf numFmtId="0" fontId="11" fillId="0" borderId="1" xfId="0" applyFont="1" applyBorder="1" applyAlignment="1"/>
    <xf numFmtId="0" fontId="6" fillId="0" borderId="1" xfId="0" applyFont="1" applyBorder="1" applyAlignment="1"/>
    <xf numFmtId="0" fontId="2" fillId="0" borderId="6" xfId="0" applyFont="1" applyBorder="1" applyAlignment="1">
      <alignment horizontal="center" wrapText="1"/>
    </xf>
    <xf numFmtId="0" fontId="11" fillId="9" borderId="1" xfId="0" applyFont="1" applyFill="1" applyBorder="1" applyAlignment="1">
      <alignment horizontal="center" wrapText="1"/>
    </xf>
    <xf numFmtId="164" fontId="13" fillId="9" borderId="1" xfId="0" applyNumberFormat="1" applyFont="1" applyFill="1" applyBorder="1" applyAlignment="1">
      <alignment horizontal="center" wrapText="1"/>
    </xf>
    <xf numFmtId="4" fontId="11" fillId="0" borderId="1" xfId="0" applyNumberFormat="1" applyFont="1" applyFill="1" applyBorder="1" applyAlignment="1" applyProtection="1">
      <alignment horizontal="center" wrapText="1"/>
    </xf>
    <xf numFmtId="165" fontId="11" fillId="0" borderId="1" xfId="0" applyNumberFormat="1" applyFont="1" applyFill="1" applyBorder="1" applyAlignment="1" applyProtection="1">
      <alignment horizontal="center" wrapText="1"/>
    </xf>
    <xf numFmtId="164" fontId="0" fillId="0" borderId="0" xfId="0" applyNumberFormat="1" applyFill="1"/>
    <xf numFmtId="4" fontId="2" fillId="3" borderId="1" xfId="0" applyNumberFormat="1" applyFont="1" applyFill="1" applyBorder="1" applyAlignment="1">
      <alignment horizontal="center"/>
    </xf>
    <xf numFmtId="4" fontId="2" fillId="3" borderId="1" xfId="0" applyNumberFormat="1" applyFont="1" applyFill="1" applyBorder="1" applyAlignment="1">
      <alignment horizontal="center" wrapText="1"/>
    </xf>
    <xf numFmtId="4" fontId="6" fillId="3" borderId="1" xfId="0" applyNumberFormat="1" applyFont="1" applyFill="1" applyBorder="1" applyAlignment="1">
      <alignment horizontal="center"/>
    </xf>
    <xf numFmtId="4" fontId="6" fillId="0" borderId="1" xfId="0" applyNumberFormat="1" applyFont="1" applyFill="1" applyBorder="1" applyAlignment="1">
      <alignment horizontal="center"/>
    </xf>
    <xf numFmtId="165" fontId="22" fillId="0" borderId="0" xfId="0" applyNumberFormat="1" applyFont="1"/>
    <xf numFmtId="166" fontId="11" fillId="0" borderId="1" xfId="0" applyNumberFormat="1" applyFont="1" applyFill="1" applyBorder="1" applyAlignment="1">
      <alignment horizontal="justify" vertical="center" wrapText="1"/>
    </xf>
    <xf numFmtId="164" fontId="9" fillId="0" borderId="0" xfId="0" applyNumberFormat="1" applyFont="1" applyBorder="1" applyAlignment="1">
      <alignment horizontal="center" vertical="center"/>
    </xf>
    <xf numFmtId="2" fontId="2" fillId="0" borderId="1" xfId="0" applyNumberFormat="1" applyFont="1" applyBorder="1" applyAlignment="1">
      <alignment horizontal="center" vertical="center" wrapText="1"/>
    </xf>
    <xf numFmtId="0" fontId="1" fillId="0" borderId="0" xfId="0" applyFont="1" applyAlignment="1">
      <alignment horizontal="center" vertical="center"/>
    </xf>
    <xf numFmtId="0" fontId="0" fillId="0" borderId="0" xfId="0" applyAlignment="1"/>
    <xf numFmtId="0" fontId="5" fillId="0" borderId="0" xfId="0" applyFont="1" applyAlignment="1"/>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2" fontId="0" fillId="0" borderId="1" xfId="0" applyNumberFormat="1" applyBorder="1" applyAlignment="1">
      <alignment vertical="center" wrapText="1"/>
    </xf>
    <xf numFmtId="2" fontId="0" fillId="0" borderId="1" xfId="0" applyNumberFormat="1" applyBorder="1" applyAlignment="1">
      <alignment horizontal="center" vertical="center" wrapText="1"/>
    </xf>
    <xf numFmtId="0" fontId="1" fillId="0" borderId="0" xfId="0" applyFont="1" applyAlignment="1">
      <alignment horizontal="center" vertical="center" wrapText="1"/>
    </xf>
    <xf numFmtId="0" fontId="15" fillId="0" borderId="3" xfId="0" applyFont="1" applyBorder="1" applyAlignment="1">
      <alignment horizontal="center" wrapText="1"/>
    </xf>
    <xf numFmtId="0" fontId="15" fillId="0" borderId="0" xfId="0" applyFont="1" applyAlignment="1">
      <alignment horizont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165" fontId="21" fillId="0" borderId="1" xfId="0" applyNumberFormat="1" applyFont="1" applyBorder="1" applyAlignment="1">
      <alignment horizontal="center" vertical="center" wrapText="1"/>
    </xf>
    <xf numFmtId="165" fontId="22" fillId="0" borderId="1" xfId="0" applyNumberFormat="1" applyFont="1" applyBorder="1" applyAlignment="1">
      <alignment horizontal="center" vertical="center" wrapText="1"/>
    </xf>
    <xf numFmtId="0" fontId="21" fillId="0" borderId="1" xfId="0" applyFont="1" applyBorder="1" applyAlignment="1">
      <alignment horizontal="center" wrapText="1"/>
    </xf>
    <xf numFmtId="165" fontId="2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0" fillId="0" borderId="7" xfId="0" applyBorder="1" applyAlignment="1">
      <alignment wrapText="1"/>
    </xf>
    <xf numFmtId="165" fontId="0" fillId="0" borderId="1" xfId="0" applyNumberFormat="1" applyFont="1" applyBorder="1" applyAlignment="1">
      <alignment vertical="center" wrapText="1"/>
    </xf>
    <xf numFmtId="0" fontId="0" fillId="0" borderId="1" xfId="0" applyFont="1" applyBorder="1" applyAlignment="1">
      <alignment horizontal="center" vertical="center" wrapText="1"/>
    </xf>
    <xf numFmtId="165" fontId="0" fillId="0" borderId="1"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 fillId="0" borderId="1" xfId="0" applyFont="1" applyBorder="1" applyAlignment="1">
      <alignment horizontal="center" wrapText="1"/>
    </xf>
    <xf numFmtId="165" fontId="2" fillId="0" borderId="1" xfId="0" applyNumberFormat="1" applyFont="1" applyBorder="1" applyAlignment="1">
      <alignment horizontal="center" wrapText="1"/>
    </xf>
    <xf numFmtId="165" fontId="2" fillId="0" borderId="1" xfId="0" applyNumberFormat="1" applyFont="1" applyBorder="1" applyAlignment="1">
      <alignment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topLeftCell="B1" zoomScale="90" zoomScaleNormal="90" workbookViewId="0">
      <pane xSplit="1" ySplit="9" topLeftCell="C127" activePane="bottomRight" state="frozen"/>
      <selection activeCell="B1" sqref="B1"/>
      <selection pane="topRight" activeCell="C1" sqref="C1"/>
      <selection pane="bottomLeft" activeCell="B15" sqref="B15"/>
      <selection pane="bottomRight" activeCell="I15" sqref="I15"/>
    </sheetView>
  </sheetViews>
  <sheetFormatPr defaultRowHeight="15" x14ac:dyDescent="0.25"/>
  <cols>
    <col min="1" max="1" width="5.28515625" customWidth="1"/>
    <col min="2" max="2" width="29.85546875" customWidth="1"/>
    <col min="3" max="3" width="26.28515625" customWidth="1"/>
    <col min="4" max="4" width="47.42578125" customWidth="1"/>
    <col min="5" max="5" width="29.140625" customWidth="1"/>
    <col min="7" max="7" width="13.28515625" style="64" customWidth="1"/>
    <col min="8" max="8" width="14" style="64" customWidth="1"/>
    <col min="9" max="9" width="13.28515625" style="64" customWidth="1"/>
    <col min="10" max="10" width="12.42578125" style="64" customWidth="1"/>
    <col min="11" max="11" width="11" style="64" customWidth="1"/>
    <col min="12" max="12" width="10.5703125" style="64" customWidth="1"/>
  </cols>
  <sheetData>
    <row r="1" spans="1:15" ht="18.75" x14ac:dyDescent="0.25">
      <c r="A1" s="377" t="s">
        <v>0</v>
      </c>
      <c r="B1" s="378"/>
      <c r="C1" s="378"/>
      <c r="D1" s="378"/>
      <c r="E1" s="378"/>
      <c r="F1" s="378"/>
      <c r="G1" s="378"/>
      <c r="H1" s="378"/>
      <c r="I1" s="378"/>
      <c r="J1" s="378"/>
      <c r="K1" s="378"/>
    </row>
    <row r="2" spans="1:15" ht="18.75" x14ac:dyDescent="0.25">
      <c r="A2" s="377" t="s">
        <v>235</v>
      </c>
      <c r="B2" s="379"/>
      <c r="C2" s="379"/>
      <c r="D2" s="379"/>
      <c r="E2" s="379"/>
      <c r="F2" s="379"/>
      <c r="G2" s="379"/>
      <c r="H2" s="379"/>
      <c r="I2" s="379"/>
      <c r="J2" s="379"/>
      <c r="K2" s="379"/>
      <c r="L2" s="379"/>
    </row>
    <row r="3" spans="1:15" ht="18.75" x14ac:dyDescent="0.25">
      <c r="A3" s="377" t="s">
        <v>296</v>
      </c>
      <c r="B3" s="379"/>
      <c r="C3" s="379"/>
      <c r="D3" s="379"/>
      <c r="E3" s="379"/>
      <c r="F3" s="379"/>
      <c r="G3" s="379"/>
      <c r="H3" s="379"/>
      <c r="I3" s="379"/>
      <c r="J3" s="379"/>
      <c r="K3" s="379"/>
      <c r="L3" s="379"/>
    </row>
    <row r="4" spans="1:15" ht="30.75" customHeight="1" x14ac:dyDescent="0.25">
      <c r="A4" s="49"/>
      <c r="B4" s="51"/>
      <c r="C4" s="51"/>
      <c r="D4" s="384" t="s">
        <v>297</v>
      </c>
      <c r="E4" s="377"/>
      <c r="F4" s="377"/>
      <c r="G4" s="377"/>
      <c r="H4" s="65"/>
      <c r="I4" s="65"/>
      <c r="J4" s="65"/>
      <c r="K4" s="65"/>
      <c r="L4" s="65"/>
    </row>
    <row r="5" spans="1:15" ht="39" customHeight="1" x14ac:dyDescent="0.25">
      <c r="A5" s="380" t="s">
        <v>1</v>
      </c>
      <c r="B5" s="380" t="s">
        <v>2</v>
      </c>
      <c r="C5" s="380" t="s">
        <v>3</v>
      </c>
      <c r="D5" s="380"/>
      <c r="E5" s="380" t="s">
        <v>69</v>
      </c>
      <c r="F5" s="380" t="s">
        <v>4</v>
      </c>
      <c r="G5" s="376" t="s">
        <v>298</v>
      </c>
      <c r="H5" s="376" t="s">
        <v>299</v>
      </c>
      <c r="I5" s="376" t="s">
        <v>300</v>
      </c>
      <c r="J5" s="376" t="s">
        <v>5</v>
      </c>
      <c r="K5" s="376"/>
      <c r="L5" s="376"/>
    </row>
    <row r="6" spans="1:15" ht="36.75" customHeight="1" x14ac:dyDescent="0.25">
      <c r="A6" s="380"/>
      <c r="B6" s="380"/>
      <c r="C6" s="380" t="s">
        <v>6</v>
      </c>
      <c r="D6" s="380" t="s">
        <v>9</v>
      </c>
      <c r="E6" s="380"/>
      <c r="F6" s="380"/>
      <c r="G6" s="376"/>
      <c r="H6" s="382"/>
      <c r="I6" s="382"/>
      <c r="J6" s="376" t="s">
        <v>301</v>
      </c>
      <c r="K6" s="376" t="s">
        <v>302</v>
      </c>
      <c r="L6" s="376" t="s">
        <v>303</v>
      </c>
    </row>
    <row r="7" spans="1:15" ht="31.5" customHeight="1" x14ac:dyDescent="0.25">
      <c r="A7" s="380"/>
      <c r="B7" s="380"/>
      <c r="C7" s="380"/>
      <c r="D7" s="381"/>
      <c r="E7" s="380"/>
      <c r="F7" s="380"/>
      <c r="G7" s="376"/>
      <c r="H7" s="382"/>
      <c r="I7" s="382"/>
      <c r="J7" s="383"/>
      <c r="K7" s="376"/>
      <c r="L7" s="376"/>
    </row>
    <row r="8" spans="1:15" x14ac:dyDescent="0.25">
      <c r="A8" s="36">
        <v>1</v>
      </c>
      <c r="B8" s="36">
        <v>2</v>
      </c>
      <c r="C8" s="36">
        <v>3</v>
      </c>
      <c r="D8" s="36">
        <v>4</v>
      </c>
      <c r="E8" s="36">
        <v>5</v>
      </c>
      <c r="F8" s="36">
        <v>6</v>
      </c>
      <c r="G8" s="66">
        <v>7</v>
      </c>
      <c r="H8" s="66">
        <v>8</v>
      </c>
      <c r="I8" s="66">
        <v>9</v>
      </c>
      <c r="J8" s="66">
        <v>10</v>
      </c>
      <c r="K8" s="66">
        <v>11</v>
      </c>
      <c r="L8" s="66">
        <v>12</v>
      </c>
    </row>
    <row r="9" spans="1:15" ht="28.5" x14ac:dyDescent="0.25">
      <c r="A9" s="1"/>
      <c r="B9" s="90" t="s">
        <v>7</v>
      </c>
      <c r="C9" s="91"/>
      <c r="D9" s="91"/>
      <c r="E9" s="92"/>
      <c r="F9" s="93" t="s">
        <v>13</v>
      </c>
      <c r="G9" s="94">
        <f t="shared" ref="G9:L9" si="0">G10+G99</f>
        <v>755290.24367999984</v>
      </c>
      <c r="H9" s="94">
        <f t="shared" si="0"/>
        <v>503255.52970000007</v>
      </c>
      <c r="I9" s="94">
        <f t="shared" si="0"/>
        <v>741926.90258999984</v>
      </c>
      <c r="J9" s="94">
        <f t="shared" si="0"/>
        <v>787317.30000000028</v>
      </c>
      <c r="K9" s="94">
        <f t="shared" si="0"/>
        <v>643431.90000000014</v>
      </c>
      <c r="L9" s="94">
        <f t="shared" si="0"/>
        <v>667475.90000000014</v>
      </c>
      <c r="O9">
        <v>666151.9</v>
      </c>
    </row>
    <row r="10" spans="1:15" ht="28.5" x14ac:dyDescent="0.25">
      <c r="A10" s="2"/>
      <c r="B10" s="86" t="s">
        <v>8</v>
      </c>
      <c r="C10" s="86" t="s">
        <v>77</v>
      </c>
      <c r="D10" s="86" t="s">
        <v>8</v>
      </c>
      <c r="E10" s="87"/>
      <c r="F10" s="88" t="s">
        <v>14</v>
      </c>
      <c r="G10" s="89">
        <f t="shared" ref="G10:L10" si="1">G11+G38</f>
        <v>147701.04999999999</v>
      </c>
      <c r="H10" s="89">
        <f t="shared" si="1"/>
        <v>97385.192019999988</v>
      </c>
      <c r="I10" s="89">
        <f t="shared" si="1"/>
        <v>143174.77666999999</v>
      </c>
      <c r="J10" s="89">
        <f t="shared" si="1"/>
        <v>147626.79999999999</v>
      </c>
      <c r="K10" s="89">
        <f t="shared" si="1"/>
        <v>154979.29999999999</v>
      </c>
      <c r="L10" s="89">
        <f t="shared" si="1"/>
        <v>165070.59999999998</v>
      </c>
    </row>
    <row r="11" spans="1:15" ht="15.75" x14ac:dyDescent="0.25">
      <c r="A11" s="36"/>
      <c r="B11" s="95" t="s">
        <v>10</v>
      </c>
      <c r="C11" s="96"/>
      <c r="D11" s="96"/>
      <c r="E11" s="97"/>
      <c r="F11" s="98" t="s">
        <v>15</v>
      </c>
      <c r="G11" s="99">
        <f t="shared" ref="G11:L11" si="2">G12++G19+G29</f>
        <v>121965.85</v>
      </c>
      <c r="H11" s="99">
        <f t="shared" si="2"/>
        <v>84570.529059999986</v>
      </c>
      <c r="I11" s="99">
        <f t="shared" si="2"/>
        <v>123764.81653</v>
      </c>
      <c r="J11" s="99">
        <f t="shared" si="2"/>
        <v>124328.4</v>
      </c>
      <c r="K11" s="99">
        <f t="shared" si="2"/>
        <v>130919.8</v>
      </c>
      <c r="L11" s="99">
        <f t="shared" si="2"/>
        <v>140202.4</v>
      </c>
    </row>
    <row r="12" spans="1:15" s="8" customFormat="1" ht="15.75" x14ac:dyDescent="0.25">
      <c r="A12" s="6"/>
      <c r="B12" s="3" t="s">
        <v>11</v>
      </c>
      <c r="C12" s="3" t="s">
        <v>78</v>
      </c>
      <c r="D12" s="3" t="s">
        <v>79</v>
      </c>
      <c r="E12" s="6"/>
      <c r="F12" s="7" t="s">
        <v>16</v>
      </c>
      <c r="G12" s="67">
        <f>G13</f>
        <v>108284.8</v>
      </c>
      <c r="H12" s="67">
        <f t="shared" ref="H12:L12" si="3">H13</f>
        <v>74179.390679999982</v>
      </c>
      <c r="I12" s="67">
        <f t="shared" si="3"/>
        <v>109224.69575</v>
      </c>
      <c r="J12" s="67">
        <f t="shared" si="3"/>
        <v>112250.59999999999</v>
      </c>
      <c r="K12" s="67">
        <f t="shared" si="3"/>
        <v>119731.6</v>
      </c>
      <c r="L12" s="67">
        <f t="shared" si="3"/>
        <v>128312.8</v>
      </c>
    </row>
    <row r="13" spans="1:15" s="8" customFormat="1" ht="30" x14ac:dyDescent="0.25">
      <c r="A13" s="6"/>
      <c r="B13" s="9" t="s">
        <v>12</v>
      </c>
      <c r="C13" s="9" t="s">
        <v>68</v>
      </c>
      <c r="D13" s="9" t="s">
        <v>12</v>
      </c>
      <c r="E13" s="30"/>
      <c r="F13" s="14" t="s">
        <v>17</v>
      </c>
      <c r="G13" s="68">
        <f>G14+G15+G16+G17+G18</f>
        <v>108284.8</v>
      </c>
      <c r="H13" s="68">
        <f t="shared" ref="H13:L13" si="4">H14+H15+H16+H17+H18</f>
        <v>74179.390679999982</v>
      </c>
      <c r="I13" s="68">
        <f t="shared" si="4"/>
        <v>109224.69575</v>
      </c>
      <c r="J13" s="68">
        <f t="shared" si="4"/>
        <v>112250.59999999999</v>
      </c>
      <c r="K13" s="68">
        <f t="shared" si="4"/>
        <v>119731.6</v>
      </c>
      <c r="L13" s="68">
        <f t="shared" si="4"/>
        <v>128312.8</v>
      </c>
    </row>
    <row r="14" spans="1:15" ht="75" x14ac:dyDescent="0.25">
      <c r="A14" s="36"/>
      <c r="B14" s="4"/>
      <c r="C14" s="4" t="s">
        <v>72</v>
      </c>
      <c r="D14" s="4" t="s">
        <v>70</v>
      </c>
      <c r="E14" s="36" t="s">
        <v>71</v>
      </c>
      <c r="F14" s="5" t="s">
        <v>18</v>
      </c>
      <c r="G14" s="62">
        <v>103905.3</v>
      </c>
      <c r="H14" s="62">
        <v>72357.224449999994</v>
      </c>
      <c r="I14" s="62">
        <v>106486.00671</v>
      </c>
      <c r="J14" s="62">
        <v>109508.8</v>
      </c>
      <c r="K14" s="62">
        <v>116838.3</v>
      </c>
      <c r="L14" s="62">
        <v>125250.8</v>
      </c>
    </row>
    <row r="15" spans="1:15" ht="120" x14ac:dyDescent="0.25">
      <c r="A15" s="36"/>
      <c r="B15" s="4"/>
      <c r="C15" s="4" t="s">
        <v>74</v>
      </c>
      <c r="D15" s="4" t="s">
        <v>73</v>
      </c>
      <c r="E15" s="36" t="s">
        <v>71</v>
      </c>
      <c r="F15" s="5" t="s">
        <v>19</v>
      </c>
      <c r="G15" s="62">
        <v>632.29999999999995</v>
      </c>
      <c r="H15" s="62">
        <v>304.49716999999998</v>
      </c>
      <c r="I15" s="62">
        <v>450.19717000000003</v>
      </c>
      <c r="J15" s="62">
        <v>666.4</v>
      </c>
      <c r="K15" s="62">
        <v>711</v>
      </c>
      <c r="L15" s="62">
        <v>762.2</v>
      </c>
    </row>
    <row r="16" spans="1:15" ht="45" x14ac:dyDescent="0.25">
      <c r="A16" s="36"/>
      <c r="B16" s="4"/>
      <c r="C16" s="4" t="s">
        <v>76</v>
      </c>
      <c r="D16" s="4" t="s">
        <v>75</v>
      </c>
      <c r="E16" s="36" t="s">
        <v>71</v>
      </c>
      <c r="F16" s="5" t="s">
        <v>20</v>
      </c>
      <c r="G16" s="62">
        <v>843</v>
      </c>
      <c r="H16" s="62">
        <v>588.14746000000002</v>
      </c>
      <c r="I16" s="62">
        <v>834.95726999999999</v>
      </c>
      <c r="J16" s="62">
        <v>888.5</v>
      </c>
      <c r="K16" s="62">
        <v>948</v>
      </c>
      <c r="L16" s="62">
        <v>1016.2</v>
      </c>
    </row>
    <row r="17" spans="1:12" ht="105" x14ac:dyDescent="0.25">
      <c r="A17" s="50"/>
      <c r="B17" s="4"/>
      <c r="C17" s="4" t="s">
        <v>305</v>
      </c>
      <c r="D17" s="4" t="s">
        <v>304</v>
      </c>
      <c r="E17" s="50" t="s">
        <v>71</v>
      </c>
      <c r="F17" s="5" t="s">
        <v>278</v>
      </c>
      <c r="G17" s="62">
        <v>2904.2</v>
      </c>
      <c r="H17" s="62">
        <v>929.32159999999999</v>
      </c>
      <c r="I17" s="62">
        <v>1453.3345999999999</v>
      </c>
      <c r="J17" s="62">
        <v>1186.9000000000001</v>
      </c>
      <c r="K17" s="62">
        <v>1234.3</v>
      </c>
      <c r="L17" s="62">
        <v>1283.5999999999999</v>
      </c>
    </row>
    <row r="18" spans="1:12" ht="60" x14ac:dyDescent="0.25">
      <c r="A18" s="50"/>
      <c r="B18" s="4"/>
      <c r="C18" s="4" t="s">
        <v>306</v>
      </c>
      <c r="D18" s="4" t="s">
        <v>307</v>
      </c>
      <c r="E18" s="50" t="s">
        <v>71</v>
      </c>
      <c r="F18" s="5" t="s">
        <v>21</v>
      </c>
      <c r="G18" s="62">
        <v>0</v>
      </c>
      <c r="H18" s="62">
        <v>0.2</v>
      </c>
      <c r="I18" s="62">
        <f>H18</f>
        <v>0.2</v>
      </c>
      <c r="J18" s="62"/>
      <c r="K18" s="62"/>
      <c r="L18" s="62"/>
    </row>
    <row r="19" spans="1:12" ht="29.25" x14ac:dyDescent="0.25">
      <c r="A19" s="10"/>
      <c r="B19" s="12" t="s">
        <v>80</v>
      </c>
      <c r="C19" s="13" t="s">
        <v>81</v>
      </c>
      <c r="D19" s="12" t="s">
        <v>82</v>
      </c>
      <c r="E19" s="31"/>
      <c r="F19" s="7" t="s">
        <v>22</v>
      </c>
      <c r="G19" s="63">
        <f t="shared" ref="G19:L19" si="5">G23+G25+G27+G20</f>
        <v>11145.949999999999</v>
      </c>
      <c r="H19" s="63">
        <f t="shared" si="5"/>
        <v>8726.1642500000016</v>
      </c>
      <c r="I19" s="63">
        <f t="shared" si="5"/>
        <v>12107.45659</v>
      </c>
      <c r="J19" s="63">
        <f t="shared" si="5"/>
        <v>10470.1</v>
      </c>
      <c r="K19" s="63">
        <f t="shared" si="5"/>
        <v>9516.2000000000007</v>
      </c>
      <c r="L19" s="63">
        <f t="shared" si="5"/>
        <v>10150.6</v>
      </c>
    </row>
    <row r="20" spans="1:12" ht="45" x14ac:dyDescent="0.25">
      <c r="A20" s="10"/>
      <c r="B20" s="15" t="s">
        <v>275</v>
      </c>
      <c r="C20" s="16" t="s">
        <v>276</v>
      </c>
      <c r="D20" s="15" t="s">
        <v>275</v>
      </c>
      <c r="E20" s="31"/>
      <c r="F20" s="14" t="s">
        <v>23</v>
      </c>
      <c r="G20" s="69">
        <f>G21+G22</f>
        <v>4132</v>
      </c>
      <c r="H20" s="69">
        <f t="shared" ref="H20:L20" si="6">H21+H22</f>
        <v>3802.0323799999996</v>
      </c>
      <c r="I20" s="69">
        <f t="shared" si="6"/>
        <v>5212.2604799999999</v>
      </c>
      <c r="J20" s="69">
        <f t="shared" si="6"/>
        <v>6992</v>
      </c>
      <c r="K20" s="69">
        <f t="shared" si="6"/>
        <v>7635.2</v>
      </c>
      <c r="L20" s="69">
        <f t="shared" si="6"/>
        <v>8146.8</v>
      </c>
    </row>
    <row r="21" spans="1:12" ht="45" x14ac:dyDescent="0.25">
      <c r="A21" s="10"/>
      <c r="B21" s="12"/>
      <c r="C21" s="10" t="s">
        <v>277</v>
      </c>
      <c r="D21" s="11" t="s">
        <v>275</v>
      </c>
      <c r="E21" s="40" t="s">
        <v>71</v>
      </c>
      <c r="F21" s="5" t="s">
        <v>24</v>
      </c>
      <c r="G21" s="61">
        <v>2426</v>
      </c>
      <c r="H21" s="61">
        <v>2060.4287199999999</v>
      </c>
      <c r="I21" s="61">
        <v>2950.0198599999999</v>
      </c>
      <c r="J21" s="61">
        <v>4887.6000000000004</v>
      </c>
      <c r="K21" s="61">
        <v>5337.2</v>
      </c>
      <c r="L21" s="61">
        <v>5694.8</v>
      </c>
    </row>
    <row r="22" spans="1:12" ht="75" x14ac:dyDescent="0.25">
      <c r="A22" s="10"/>
      <c r="B22" s="12"/>
      <c r="C22" s="10" t="s">
        <v>309</v>
      </c>
      <c r="D22" s="11" t="s">
        <v>308</v>
      </c>
      <c r="E22" s="50" t="s">
        <v>71</v>
      </c>
      <c r="F22" s="5" t="s">
        <v>25</v>
      </c>
      <c r="G22" s="61">
        <v>1706</v>
      </c>
      <c r="H22" s="61">
        <v>1741.60366</v>
      </c>
      <c r="I22" s="61">
        <v>2262.24062</v>
      </c>
      <c r="J22" s="61">
        <v>2104.4</v>
      </c>
      <c r="K22" s="61">
        <v>2298</v>
      </c>
      <c r="L22" s="61">
        <v>2452</v>
      </c>
    </row>
    <row r="23" spans="1:12" s="17" customFormat="1" ht="45" x14ac:dyDescent="0.25">
      <c r="A23" s="16"/>
      <c r="B23" s="15" t="s">
        <v>101</v>
      </c>
      <c r="C23" s="16" t="s">
        <v>85</v>
      </c>
      <c r="D23" s="15" t="s">
        <v>101</v>
      </c>
      <c r="E23" s="32"/>
      <c r="F23" s="14" t="s">
        <v>26</v>
      </c>
      <c r="G23" s="69">
        <f>G24</f>
        <v>6106.9</v>
      </c>
      <c r="H23" s="69">
        <f t="shared" ref="H23:L23" si="7">H24</f>
        <v>4542.0400500000005</v>
      </c>
      <c r="I23" s="69">
        <f t="shared" si="7"/>
        <v>5968.1641600000003</v>
      </c>
      <c r="J23" s="69">
        <f t="shared" si="7"/>
        <v>1706</v>
      </c>
      <c r="K23" s="69">
        <f t="shared" si="7"/>
        <v>0</v>
      </c>
      <c r="L23" s="69">
        <f t="shared" si="7"/>
        <v>0</v>
      </c>
    </row>
    <row r="24" spans="1:12" ht="45" x14ac:dyDescent="0.25">
      <c r="A24" s="10"/>
      <c r="B24" s="10"/>
      <c r="C24" s="10" t="s">
        <v>84</v>
      </c>
      <c r="D24" s="11" t="s">
        <v>83</v>
      </c>
      <c r="E24" s="36" t="s">
        <v>71</v>
      </c>
      <c r="F24" s="14" t="s">
        <v>27</v>
      </c>
      <c r="G24" s="62">
        <v>6106.9</v>
      </c>
      <c r="H24" s="62">
        <f>4541.95935+0.0807</f>
        <v>4542.0400500000005</v>
      </c>
      <c r="I24" s="62">
        <v>5968.1641600000003</v>
      </c>
      <c r="J24" s="61">
        <v>1706</v>
      </c>
      <c r="K24" s="61">
        <v>0</v>
      </c>
      <c r="L24" s="61">
        <v>0</v>
      </c>
    </row>
    <row r="25" spans="1:12" s="17" customFormat="1" ht="45" x14ac:dyDescent="0.25">
      <c r="A25" s="16"/>
      <c r="B25" s="15" t="s">
        <v>86</v>
      </c>
      <c r="C25" s="16" t="s">
        <v>87</v>
      </c>
      <c r="D25" s="15" t="s">
        <v>86</v>
      </c>
      <c r="E25" s="32"/>
      <c r="F25" s="14" t="s">
        <v>28</v>
      </c>
      <c r="G25" s="69">
        <f>G26</f>
        <v>62.15</v>
      </c>
      <c r="H25" s="69">
        <f t="shared" ref="H25:L25" si="8">H26</f>
        <v>79.288079999999994</v>
      </c>
      <c r="I25" s="69">
        <f t="shared" si="8"/>
        <v>83.747280000000003</v>
      </c>
      <c r="J25" s="69">
        <f t="shared" si="8"/>
        <v>66.2</v>
      </c>
      <c r="K25" s="69">
        <f t="shared" si="8"/>
        <v>67.599999999999994</v>
      </c>
      <c r="L25" s="69">
        <f t="shared" si="8"/>
        <v>68.900000000000006</v>
      </c>
    </row>
    <row r="26" spans="1:12" ht="45" x14ac:dyDescent="0.25">
      <c r="A26" s="10"/>
      <c r="B26" s="11"/>
      <c r="C26" s="10" t="s">
        <v>88</v>
      </c>
      <c r="D26" s="11" t="s">
        <v>86</v>
      </c>
      <c r="E26" s="36" t="s">
        <v>71</v>
      </c>
      <c r="F26" s="14" t="s">
        <v>29</v>
      </c>
      <c r="G26" s="62">
        <v>62.15</v>
      </c>
      <c r="H26" s="62">
        <v>79.288079999999994</v>
      </c>
      <c r="I26" s="62">
        <v>83.747280000000003</v>
      </c>
      <c r="J26" s="61">
        <v>66.2</v>
      </c>
      <c r="K26" s="62">
        <v>67.599999999999994</v>
      </c>
      <c r="L26" s="62">
        <v>68.900000000000006</v>
      </c>
    </row>
    <row r="27" spans="1:12" s="17" customFormat="1" ht="45" x14ac:dyDescent="0.25">
      <c r="A27" s="16"/>
      <c r="B27" s="15" t="s">
        <v>89</v>
      </c>
      <c r="C27" s="16" t="s">
        <v>90</v>
      </c>
      <c r="D27" s="15" t="s">
        <v>89</v>
      </c>
      <c r="E27" s="32"/>
      <c r="F27" s="14" t="s">
        <v>30</v>
      </c>
      <c r="G27" s="69">
        <f>G28</f>
        <v>844.9</v>
      </c>
      <c r="H27" s="69">
        <f t="shared" ref="H27:L27" si="9">H28</f>
        <v>302.80374</v>
      </c>
      <c r="I27" s="69">
        <f t="shared" si="9"/>
        <v>843.28467000000001</v>
      </c>
      <c r="J27" s="69">
        <f t="shared" si="9"/>
        <v>1705.9</v>
      </c>
      <c r="K27" s="69">
        <f t="shared" si="9"/>
        <v>1813.4</v>
      </c>
      <c r="L27" s="69">
        <f t="shared" si="9"/>
        <v>1934.9</v>
      </c>
    </row>
    <row r="28" spans="1:12" ht="45" x14ac:dyDescent="0.25">
      <c r="A28" s="10"/>
      <c r="B28" s="11"/>
      <c r="C28" s="10" t="s">
        <v>92</v>
      </c>
      <c r="D28" s="11" t="s">
        <v>91</v>
      </c>
      <c r="E28" s="36" t="s">
        <v>71</v>
      </c>
      <c r="F28" s="14" t="s">
        <v>31</v>
      </c>
      <c r="G28" s="62">
        <v>844.9</v>
      </c>
      <c r="H28" s="62">
        <v>302.80374</v>
      </c>
      <c r="I28" s="62">
        <v>843.28467000000001</v>
      </c>
      <c r="J28" s="62">
        <v>1705.9</v>
      </c>
      <c r="K28" s="62">
        <v>1813.4</v>
      </c>
      <c r="L28" s="62">
        <v>1934.9</v>
      </c>
    </row>
    <row r="29" spans="1:12" s="8" customFormat="1" ht="15.75" x14ac:dyDescent="0.25">
      <c r="A29" s="13"/>
      <c r="B29" s="12" t="s">
        <v>93</v>
      </c>
      <c r="C29" s="13" t="s">
        <v>97</v>
      </c>
      <c r="D29" s="12" t="s">
        <v>94</v>
      </c>
      <c r="E29" s="33"/>
      <c r="F29" s="14" t="s">
        <v>32</v>
      </c>
      <c r="G29" s="63">
        <f>G30+G32+G33</f>
        <v>2535.1</v>
      </c>
      <c r="H29" s="63">
        <f t="shared" ref="H29:L29" si="10">H30+H32+H33</f>
        <v>1664.9741300000001</v>
      </c>
      <c r="I29" s="63">
        <f t="shared" si="10"/>
        <v>2432.66419</v>
      </c>
      <c r="J29" s="63">
        <f t="shared" si="10"/>
        <v>1607.6999999999998</v>
      </c>
      <c r="K29" s="63">
        <f t="shared" si="10"/>
        <v>1672</v>
      </c>
      <c r="L29" s="63">
        <f t="shared" si="10"/>
        <v>1739</v>
      </c>
    </row>
    <row r="30" spans="1:12" s="17" customFormat="1" ht="60" x14ac:dyDescent="0.25">
      <c r="A30" s="16"/>
      <c r="B30" s="15" t="s">
        <v>95</v>
      </c>
      <c r="C30" s="16" t="s">
        <v>102</v>
      </c>
      <c r="D30" s="15" t="s">
        <v>95</v>
      </c>
      <c r="E30" s="32"/>
      <c r="F30" s="14" t="s">
        <v>33</v>
      </c>
      <c r="G30" s="69">
        <f>G31</f>
        <v>1241.8</v>
      </c>
      <c r="H30" s="69">
        <f t="shared" ref="H30:L30" si="11">H31</f>
        <v>1188.1181300000001</v>
      </c>
      <c r="I30" s="69">
        <f t="shared" si="11"/>
        <v>1638.3131900000001</v>
      </c>
      <c r="J30" s="69">
        <f t="shared" si="11"/>
        <v>787.5</v>
      </c>
      <c r="K30" s="69">
        <f t="shared" si="11"/>
        <v>819</v>
      </c>
      <c r="L30" s="69">
        <f t="shared" si="11"/>
        <v>851.8</v>
      </c>
    </row>
    <row r="31" spans="1:12" ht="45" x14ac:dyDescent="0.25">
      <c r="A31" s="10"/>
      <c r="B31" s="11"/>
      <c r="C31" s="10" t="s">
        <v>96</v>
      </c>
      <c r="D31" s="11" t="s">
        <v>95</v>
      </c>
      <c r="E31" s="36" t="s">
        <v>71</v>
      </c>
      <c r="F31" s="14" t="s">
        <v>34</v>
      </c>
      <c r="G31" s="62">
        <v>1241.8</v>
      </c>
      <c r="H31" s="62">
        <v>1188.1181300000001</v>
      </c>
      <c r="I31" s="62">
        <v>1638.3131900000001</v>
      </c>
      <c r="J31" s="62">
        <v>787.5</v>
      </c>
      <c r="K31" s="62">
        <v>819</v>
      </c>
      <c r="L31" s="62">
        <v>851.8</v>
      </c>
    </row>
    <row r="32" spans="1:12" s="17" customFormat="1" ht="105" x14ac:dyDescent="0.25">
      <c r="A32" s="16"/>
      <c r="B32" s="15" t="s">
        <v>100</v>
      </c>
      <c r="C32" s="16" t="s">
        <v>99</v>
      </c>
      <c r="D32" s="15" t="s">
        <v>100</v>
      </c>
      <c r="E32" s="19" t="s">
        <v>310</v>
      </c>
      <c r="F32" s="14" t="s">
        <v>35</v>
      </c>
      <c r="G32" s="68">
        <v>85.6</v>
      </c>
      <c r="H32" s="68">
        <v>29</v>
      </c>
      <c r="I32" s="68">
        <v>48</v>
      </c>
      <c r="J32" s="68">
        <v>54.3</v>
      </c>
      <c r="K32" s="69">
        <v>56.4</v>
      </c>
      <c r="L32" s="69">
        <v>58.7</v>
      </c>
    </row>
    <row r="33" spans="1:13" s="17" customFormat="1" ht="90" x14ac:dyDescent="0.25">
      <c r="A33" s="16"/>
      <c r="B33" s="15" t="s">
        <v>103</v>
      </c>
      <c r="C33" s="16" t="s">
        <v>104</v>
      </c>
      <c r="D33" s="15" t="s">
        <v>103</v>
      </c>
      <c r="E33" s="21"/>
      <c r="F33" s="14" t="s">
        <v>36</v>
      </c>
      <c r="G33" s="69">
        <f>G37+G34+G35+G36</f>
        <v>1207.7</v>
      </c>
      <c r="H33" s="69">
        <f t="shared" ref="H33:L33" si="12">H37+H34+H35+H36</f>
        <v>447.85599999999999</v>
      </c>
      <c r="I33" s="69">
        <f t="shared" si="12"/>
        <v>746.351</v>
      </c>
      <c r="J33" s="69">
        <f t="shared" si="12"/>
        <v>765.9</v>
      </c>
      <c r="K33" s="69">
        <f t="shared" si="12"/>
        <v>796.6</v>
      </c>
      <c r="L33" s="69">
        <f t="shared" si="12"/>
        <v>828.5</v>
      </c>
    </row>
    <row r="34" spans="1:13" ht="45" x14ac:dyDescent="0.25">
      <c r="A34" s="10"/>
      <c r="B34" s="11"/>
      <c r="C34" s="10" t="s">
        <v>107</v>
      </c>
      <c r="D34" s="11" t="s">
        <v>105</v>
      </c>
      <c r="E34" s="19" t="s">
        <v>106</v>
      </c>
      <c r="F34" s="14" t="s">
        <v>37</v>
      </c>
      <c r="G34" s="62">
        <v>863.5</v>
      </c>
      <c r="H34" s="62">
        <v>273.00599999999997</v>
      </c>
      <c r="I34" s="62">
        <v>469.15100000000001</v>
      </c>
      <c r="J34" s="62">
        <v>547.6</v>
      </c>
      <c r="K34" s="61">
        <v>569.5</v>
      </c>
      <c r="L34" s="61">
        <v>592.29999999999995</v>
      </c>
    </row>
    <row r="35" spans="1:13" ht="30" x14ac:dyDescent="0.25">
      <c r="A35" s="10"/>
      <c r="B35" s="11"/>
      <c r="C35" s="10" t="s">
        <v>109</v>
      </c>
      <c r="D35" s="11" t="s">
        <v>108</v>
      </c>
      <c r="E35" s="19" t="s">
        <v>98</v>
      </c>
      <c r="F35" s="14" t="s">
        <v>38</v>
      </c>
      <c r="G35" s="62">
        <v>97.1</v>
      </c>
      <c r="H35" s="62">
        <v>56.85</v>
      </c>
      <c r="I35" s="62">
        <v>84.2</v>
      </c>
      <c r="J35" s="62">
        <v>61.6</v>
      </c>
      <c r="K35" s="61">
        <v>64.099999999999994</v>
      </c>
      <c r="L35" s="61">
        <v>66.599999999999994</v>
      </c>
    </row>
    <row r="36" spans="1:13" ht="105" x14ac:dyDescent="0.25">
      <c r="A36" s="10"/>
      <c r="B36" s="11"/>
      <c r="C36" s="10" t="s">
        <v>111</v>
      </c>
      <c r="D36" s="11" t="s">
        <v>110</v>
      </c>
      <c r="E36" s="19" t="s">
        <v>98</v>
      </c>
      <c r="F36" s="14" t="s">
        <v>39</v>
      </c>
      <c r="G36" s="62">
        <v>237.1</v>
      </c>
      <c r="H36" s="62">
        <v>118</v>
      </c>
      <c r="I36" s="62">
        <v>191.5</v>
      </c>
      <c r="J36" s="62">
        <v>150.4</v>
      </c>
      <c r="K36" s="61">
        <v>156.4</v>
      </c>
      <c r="L36" s="61">
        <v>162.69999999999999</v>
      </c>
    </row>
    <row r="37" spans="1:13" ht="60" x14ac:dyDescent="0.25">
      <c r="A37" s="10"/>
      <c r="B37" s="11"/>
      <c r="C37" s="10" t="s">
        <v>311</v>
      </c>
      <c r="D37" s="11" t="s">
        <v>312</v>
      </c>
      <c r="E37" s="19" t="s">
        <v>313</v>
      </c>
      <c r="F37" s="14" t="s">
        <v>279</v>
      </c>
      <c r="G37" s="62">
        <v>10</v>
      </c>
      <c r="H37" s="62">
        <v>0</v>
      </c>
      <c r="I37" s="62">
        <v>1.5</v>
      </c>
      <c r="J37" s="62">
        <v>6.3</v>
      </c>
      <c r="K37" s="61">
        <v>6.6</v>
      </c>
      <c r="L37" s="61">
        <v>6.9</v>
      </c>
    </row>
    <row r="38" spans="1:13" s="8" customFormat="1" ht="29.25" x14ac:dyDescent="0.25">
      <c r="A38" s="13"/>
      <c r="B38" s="100" t="s">
        <v>112</v>
      </c>
      <c r="C38" s="101"/>
      <c r="D38" s="100"/>
      <c r="E38" s="102"/>
      <c r="F38" s="103" t="s">
        <v>40</v>
      </c>
      <c r="G38" s="104">
        <f t="shared" ref="G38:L38" si="13">G39+G49+G54+G63+G72+G95</f>
        <v>25735.199999999997</v>
      </c>
      <c r="H38" s="104">
        <f t="shared" si="13"/>
        <v>12814.66296</v>
      </c>
      <c r="I38" s="104">
        <f t="shared" si="13"/>
        <v>19409.960139999999</v>
      </c>
      <c r="J38" s="104">
        <f t="shared" si="13"/>
        <v>23298.400000000001</v>
      </c>
      <c r="K38" s="104">
        <f t="shared" si="13"/>
        <v>24059.499999999996</v>
      </c>
      <c r="L38" s="104">
        <f t="shared" si="13"/>
        <v>24868.199999999997</v>
      </c>
    </row>
    <row r="39" spans="1:13" s="8" customFormat="1" ht="72" x14ac:dyDescent="0.25">
      <c r="A39" s="13"/>
      <c r="B39" s="12" t="s">
        <v>113</v>
      </c>
      <c r="C39" s="13" t="s">
        <v>114</v>
      </c>
      <c r="D39" s="12" t="s">
        <v>115</v>
      </c>
      <c r="E39" s="20"/>
      <c r="F39" s="14" t="s">
        <v>244</v>
      </c>
      <c r="G39" s="63">
        <f t="shared" ref="G39:L39" si="14">G40+G45+G47</f>
        <v>8715.9</v>
      </c>
      <c r="H39" s="63">
        <f t="shared" si="14"/>
        <v>6098.7470000000003</v>
      </c>
      <c r="I39" s="63">
        <f t="shared" si="14"/>
        <v>8340.6936399999995</v>
      </c>
      <c r="J39" s="63">
        <f t="shared" si="14"/>
        <v>9050.7000000000007</v>
      </c>
      <c r="K39" s="63">
        <f t="shared" si="14"/>
        <v>9412.6999999999989</v>
      </c>
      <c r="L39" s="63">
        <f t="shared" si="14"/>
        <v>9789.1999999999989</v>
      </c>
    </row>
    <row r="40" spans="1:13" s="17" customFormat="1" ht="90" x14ac:dyDescent="0.25">
      <c r="A40" s="16"/>
      <c r="B40" s="15" t="s">
        <v>130</v>
      </c>
      <c r="C40" s="16" t="s">
        <v>131</v>
      </c>
      <c r="D40" s="15" t="s">
        <v>130</v>
      </c>
      <c r="E40" s="21"/>
      <c r="F40" s="14" t="s">
        <v>245</v>
      </c>
      <c r="G40" s="69">
        <f>G41+G43+G42+G44</f>
        <v>8714.5</v>
      </c>
      <c r="H40" s="69">
        <f t="shared" ref="H40:L40" si="15">H41+H43+H42+H44</f>
        <v>6097.0470000000005</v>
      </c>
      <c r="I40" s="69">
        <f t="shared" si="15"/>
        <v>8338.5936399999991</v>
      </c>
      <c r="J40" s="69">
        <f t="shared" si="15"/>
        <v>9049.6</v>
      </c>
      <c r="K40" s="69">
        <f t="shared" si="15"/>
        <v>9411.5999999999985</v>
      </c>
      <c r="L40" s="69">
        <f t="shared" si="15"/>
        <v>9788.0999999999985</v>
      </c>
    </row>
    <row r="41" spans="1:13" ht="105" x14ac:dyDescent="0.25">
      <c r="A41" s="10"/>
      <c r="B41" s="11"/>
      <c r="C41" s="10" t="s">
        <v>118</v>
      </c>
      <c r="D41" s="11" t="s">
        <v>116</v>
      </c>
      <c r="E41" s="19" t="s">
        <v>314</v>
      </c>
      <c r="F41" s="14" t="s">
        <v>41</v>
      </c>
      <c r="G41" s="62">
        <v>2259.5</v>
      </c>
      <c r="H41" s="62">
        <v>1536.7014999999999</v>
      </c>
      <c r="I41" s="62">
        <v>2353.3717799999999</v>
      </c>
      <c r="J41" s="62">
        <v>2313.6</v>
      </c>
      <c r="K41" s="62">
        <v>2406.1999999999998</v>
      </c>
      <c r="L41" s="62">
        <v>2502.5</v>
      </c>
      <c r="M41" s="64">
        <f>SUM(I41:I42)</f>
        <v>3146.6960199999999</v>
      </c>
    </row>
    <row r="42" spans="1:13" ht="105" x14ac:dyDescent="0.25">
      <c r="A42" s="10"/>
      <c r="B42" s="11"/>
      <c r="C42" s="10" t="s">
        <v>237</v>
      </c>
      <c r="D42" s="11" t="s">
        <v>126</v>
      </c>
      <c r="E42" s="19" t="s">
        <v>117</v>
      </c>
      <c r="F42" s="14" t="s">
        <v>42</v>
      </c>
      <c r="G42" s="62">
        <v>1250</v>
      </c>
      <c r="H42" s="62">
        <v>442.31461999999999</v>
      </c>
      <c r="I42" s="62">
        <v>793.32424000000003</v>
      </c>
      <c r="J42" s="62">
        <v>1171</v>
      </c>
      <c r="K42" s="62">
        <v>1217.8</v>
      </c>
      <c r="L42" s="62">
        <v>1266.5</v>
      </c>
    </row>
    <row r="43" spans="1:13" ht="75" x14ac:dyDescent="0.25">
      <c r="A43" s="10"/>
      <c r="B43" s="11"/>
      <c r="C43" s="10" t="s">
        <v>121</v>
      </c>
      <c r="D43" s="11" t="s">
        <v>120</v>
      </c>
      <c r="E43" s="19" t="s">
        <v>314</v>
      </c>
      <c r="F43" s="14" t="s">
        <v>43</v>
      </c>
      <c r="G43" s="62">
        <v>260</v>
      </c>
      <c r="H43" s="62">
        <v>165.01112000000001</v>
      </c>
      <c r="I43" s="62">
        <v>246.89761999999999</v>
      </c>
      <c r="J43" s="62">
        <v>260</v>
      </c>
      <c r="K43" s="62">
        <v>270.39999999999998</v>
      </c>
      <c r="L43" s="62">
        <v>281.2</v>
      </c>
    </row>
    <row r="44" spans="1:13" ht="90" x14ac:dyDescent="0.25">
      <c r="A44" s="10"/>
      <c r="B44" s="11"/>
      <c r="C44" s="10" t="s">
        <v>315</v>
      </c>
      <c r="D44" s="11" t="s">
        <v>243</v>
      </c>
      <c r="E44" s="19" t="s">
        <v>314</v>
      </c>
      <c r="F44" s="14" t="s">
        <v>44</v>
      </c>
      <c r="G44" s="62">
        <v>4945</v>
      </c>
      <c r="H44" s="62">
        <v>3953.0197600000001</v>
      </c>
      <c r="I44" s="62">
        <f>G44</f>
        <v>4945</v>
      </c>
      <c r="J44" s="62">
        <v>5305</v>
      </c>
      <c r="K44" s="62">
        <v>5517.2</v>
      </c>
      <c r="L44" s="62">
        <v>5737.9</v>
      </c>
    </row>
    <row r="45" spans="1:13" s="17" customFormat="1" ht="60" x14ac:dyDescent="0.25">
      <c r="A45" s="16"/>
      <c r="B45" s="15" t="s">
        <v>132</v>
      </c>
      <c r="C45" s="16" t="s">
        <v>133</v>
      </c>
      <c r="D45" s="15" t="s">
        <v>132</v>
      </c>
      <c r="E45" s="21"/>
      <c r="F45" s="14" t="s">
        <v>45</v>
      </c>
      <c r="G45" s="68">
        <f>G46</f>
        <v>1</v>
      </c>
      <c r="H45" s="68">
        <f t="shared" ref="H45:L45" si="16">H46</f>
        <v>0</v>
      </c>
      <c r="I45" s="68">
        <f t="shared" si="16"/>
        <v>0</v>
      </c>
      <c r="J45" s="68">
        <f t="shared" si="16"/>
        <v>0.6</v>
      </c>
      <c r="K45" s="68">
        <f t="shared" si="16"/>
        <v>0.6</v>
      </c>
      <c r="L45" s="68">
        <f t="shared" si="16"/>
        <v>0.6</v>
      </c>
    </row>
    <row r="46" spans="1:13" ht="75" x14ac:dyDescent="0.25">
      <c r="A46" s="10"/>
      <c r="B46" s="11"/>
      <c r="C46" s="10" t="s">
        <v>123</v>
      </c>
      <c r="D46" s="11" t="s">
        <v>122</v>
      </c>
      <c r="E46" s="19" t="s">
        <v>119</v>
      </c>
      <c r="F46" s="14" t="s">
        <v>46</v>
      </c>
      <c r="G46" s="62">
        <v>1</v>
      </c>
      <c r="H46" s="62">
        <v>0</v>
      </c>
      <c r="I46" s="62">
        <v>0</v>
      </c>
      <c r="J46" s="62">
        <v>0.6</v>
      </c>
      <c r="K46" s="62">
        <v>0.6</v>
      </c>
      <c r="L46" s="62">
        <v>0.6</v>
      </c>
    </row>
    <row r="47" spans="1:13" s="17" customFormat="1" ht="90" x14ac:dyDescent="0.25">
      <c r="A47" s="16"/>
      <c r="B47" s="15" t="s">
        <v>134</v>
      </c>
      <c r="C47" s="16" t="s">
        <v>135</v>
      </c>
      <c r="D47" s="15" t="s">
        <v>134</v>
      </c>
      <c r="E47" s="21"/>
      <c r="F47" s="14" t="s">
        <v>47</v>
      </c>
      <c r="G47" s="68">
        <f>G48</f>
        <v>0.4</v>
      </c>
      <c r="H47" s="68">
        <f t="shared" ref="H47:L47" si="17">H48</f>
        <v>1.7</v>
      </c>
      <c r="I47" s="68">
        <f t="shared" si="17"/>
        <v>2.1</v>
      </c>
      <c r="J47" s="68">
        <f t="shared" si="17"/>
        <v>0.5</v>
      </c>
      <c r="K47" s="68">
        <f t="shared" si="17"/>
        <v>0.5</v>
      </c>
      <c r="L47" s="68">
        <f t="shared" si="17"/>
        <v>0.5</v>
      </c>
    </row>
    <row r="48" spans="1:13" ht="105" x14ac:dyDescent="0.25">
      <c r="A48" s="10"/>
      <c r="B48" s="11"/>
      <c r="C48" s="10" t="s">
        <v>125</v>
      </c>
      <c r="D48" s="11" t="s">
        <v>124</v>
      </c>
      <c r="E48" s="19" t="s">
        <v>119</v>
      </c>
      <c r="F48" s="14" t="s">
        <v>48</v>
      </c>
      <c r="G48" s="61">
        <v>0.4</v>
      </c>
      <c r="H48" s="61">
        <v>1.7</v>
      </c>
      <c r="I48" s="61">
        <v>2.1</v>
      </c>
      <c r="J48" s="61">
        <v>0.5</v>
      </c>
      <c r="K48" s="61">
        <v>0.5</v>
      </c>
      <c r="L48" s="61">
        <v>0.5</v>
      </c>
    </row>
    <row r="49" spans="1:12" s="8" customFormat="1" ht="29.25" x14ac:dyDescent="0.25">
      <c r="A49" s="13"/>
      <c r="B49" s="12" t="s">
        <v>127</v>
      </c>
      <c r="C49" s="13" t="s">
        <v>128</v>
      </c>
      <c r="D49" s="12" t="s">
        <v>129</v>
      </c>
      <c r="E49" s="20"/>
      <c r="F49" s="7" t="s">
        <v>46</v>
      </c>
      <c r="G49" s="63">
        <f>G50</f>
        <v>122.3</v>
      </c>
      <c r="H49" s="63">
        <f t="shared" ref="H49:L49" si="18">H50</f>
        <v>43.964880000000001</v>
      </c>
      <c r="I49" s="63">
        <f t="shared" si="18"/>
        <v>52.392290000000003</v>
      </c>
      <c r="J49" s="63">
        <f t="shared" si="18"/>
        <v>72.400000000000006</v>
      </c>
      <c r="K49" s="63">
        <f t="shared" si="18"/>
        <v>75.3</v>
      </c>
      <c r="L49" s="63">
        <f t="shared" si="18"/>
        <v>78.3</v>
      </c>
    </row>
    <row r="50" spans="1:12" s="17" customFormat="1" ht="45" x14ac:dyDescent="0.25">
      <c r="A50" s="16"/>
      <c r="B50" s="15" t="s">
        <v>139</v>
      </c>
      <c r="C50" s="16" t="s">
        <v>140</v>
      </c>
      <c r="D50" s="15" t="s">
        <v>139</v>
      </c>
      <c r="E50" s="21"/>
      <c r="F50" s="14" t="s">
        <v>47</v>
      </c>
      <c r="G50" s="69">
        <f>G51+G52+G53</f>
        <v>122.3</v>
      </c>
      <c r="H50" s="69">
        <f t="shared" ref="H50:L50" si="19">H51+H52+H53</f>
        <v>43.964880000000001</v>
      </c>
      <c r="I50" s="69">
        <f t="shared" si="19"/>
        <v>52.392290000000003</v>
      </c>
      <c r="J50" s="69">
        <f t="shared" si="19"/>
        <v>72.400000000000006</v>
      </c>
      <c r="K50" s="69">
        <f t="shared" si="19"/>
        <v>75.3</v>
      </c>
      <c r="L50" s="69">
        <f t="shared" si="19"/>
        <v>78.3</v>
      </c>
    </row>
    <row r="51" spans="1:12" ht="45" x14ac:dyDescent="0.25">
      <c r="A51" s="10"/>
      <c r="B51" s="11"/>
      <c r="C51" s="10" t="s">
        <v>143</v>
      </c>
      <c r="D51" s="11" t="s">
        <v>141</v>
      </c>
      <c r="E51" s="19" t="s">
        <v>142</v>
      </c>
      <c r="F51" s="5" t="s">
        <v>48</v>
      </c>
      <c r="G51" s="62">
        <v>35.200000000000003</v>
      </c>
      <c r="H51" s="62">
        <v>28.922910000000002</v>
      </c>
      <c r="I51" s="62">
        <v>32.905270000000002</v>
      </c>
      <c r="J51" s="62">
        <v>37.5</v>
      </c>
      <c r="K51" s="61">
        <v>39.1</v>
      </c>
      <c r="L51" s="61">
        <v>40.6</v>
      </c>
    </row>
    <row r="52" spans="1:12" ht="45" x14ac:dyDescent="0.25">
      <c r="A52" s="10"/>
      <c r="B52" s="11"/>
      <c r="C52" s="10" t="s">
        <v>146</v>
      </c>
      <c r="D52" s="11" t="s">
        <v>144</v>
      </c>
      <c r="E52" s="19" t="s">
        <v>142</v>
      </c>
      <c r="F52" s="5" t="s">
        <v>280</v>
      </c>
      <c r="G52" s="62">
        <v>19.3</v>
      </c>
      <c r="H52" s="62">
        <v>0</v>
      </c>
      <c r="I52" s="62">
        <v>0.6</v>
      </c>
      <c r="J52" s="62">
        <v>11.5</v>
      </c>
      <c r="K52" s="61">
        <v>11.9</v>
      </c>
      <c r="L52" s="61">
        <v>12.4</v>
      </c>
    </row>
    <row r="53" spans="1:12" ht="45" x14ac:dyDescent="0.25">
      <c r="A53" s="10"/>
      <c r="B53" s="11"/>
      <c r="C53" s="10" t="s">
        <v>236</v>
      </c>
      <c r="D53" s="11" t="s">
        <v>145</v>
      </c>
      <c r="E53" s="19" t="s">
        <v>142</v>
      </c>
      <c r="F53" s="5" t="s">
        <v>49</v>
      </c>
      <c r="G53" s="62">
        <v>67.8</v>
      </c>
      <c r="H53" s="62">
        <v>15.041969999999999</v>
      </c>
      <c r="I53" s="62">
        <v>18.88702</v>
      </c>
      <c r="J53" s="62">
        <v>23.4</v>
      </c>
      <c r="K53" s="62">
        <v>24.3</v>
      </c>
      <c r="L53" s="62">
        <v>25.3</v>
      </c>
    </row>
    <row r="54" spans="1:12" s="8" customFormat="1" ht="57.75" x14ac:dyDescent="0.25">
      <c r="A54" s="13"/>
      <c r="B54" s="12" t="s">
        <v>147</v>
      </c>
      <c r="C54" s="13" t="s">
        <v>149</v>
      </c>
      <c r="D54" s="12" t="s">
        <v>148</v>
      </c>
      <c r="E54" s="20"/>
      <c r="F54" s="7" t="s">
        <v>50</v>
      </c>
      <c r="G54" s="63">
        <f t="shared" ref="G54:L54" si="20">G55+G59</f>
        <v>15425.5</v>
      </c>
      <c r="H54" s="63">
        <f t="shared" si="20"/>
        <v>5243.5841199999995</v>
      </c>
      <c r="I54" s="63">
        <f t="shared" si="20"/>
        <v>9319.3341099999998</v>
      </c>
      <c r="J54" s="63">
        <f t="shared" si="20"/>
        <v>12988.6</v>
      </c>
      <c r="K54" s="63">
        <f t="shared" si="20"/>
        <v>13508.1</v>
      </c>
      <c r="L54" s="63">
        <f t="shared" si="20"/>
        <v>14048.4</v>
      </c>
    </row>
    <row r="55" spans="1:12" s="17" customFormat="1" ht="30" x14ac:dyDescent="0.25">
      <c r="A55" s="16"/>
      <c r="B55" s="15" t="s">
        <v>150</v>
      </c>
      <c r="C55" s="16" t="s">
        <v>151</v>
      </c>
      <c r="D55" s="15" t="s">
        <v>150</v>
      </c>
      <c r="E55" s="21"/>
      <c r="F55" s="14" t="s">
        <v>51</v>
      </c>
      <c r="G55" s="69">
        <f>G56+G57+G58</f>
        <v>15259.5</v>
      </c>
      <c r="H55" s="69">
        <f t="shared" ref="H55:L55" si="21">H56+H57+H58</f>
        <v>5044.5475799999995</v>
      </c>
      <c r="I55" s="69">
        <f t="shared" si="21"/>
        <v>9058.9428599999992</v>
      </c>
      <c r="J55" s="69">
        <f t="shared" si="21"/>
        <v>12785.2</v>
      </c>
      <c r="K55" s="69">
        <f t="shared" si="21"/>
        <v>13296.6</v>
      </c>
      <c r="L55" s="69">
        <f t="shared" si="21"/>
        <v>13828.5</v>
      </c>
    </row>
    <row r="56" spans="1:12" ht="75" x14ac:dyDescent="0.25">
      <c r="A56" s="10"/>
      <c r="B56" s="11"/>
      <c r="C56" s="10" t="s">
        <v>153</v>
      </c>
      <c r="D56" s="11" t="s">
        <v>152</v>
      </c>
      <c r="E56" s="19" t="s">
        <v>318</v>
      </c>
      <c r="F56" s="5" t="s">
        <v>52</v>
      </c>
      <c r="G56" s="62">
        <v>12789.5</v>
      </c>
      <c r="H56" s="62">
        <v>4261.1960799999997</v>
      </c>
      <c r="I56" s="62">
        <v>7758.9313599999996</v>
      </c>
      <c r="J56" s="62">
        <v>10315.200000000001</v>
      </c>
      <c r="K56" s="61">
        <v>10727.7</v>
      </c>
      <c r="L56" s="61">
        <v>11156.9</v>
      </c>
    </row>
    <row r="57" spans="1:12" ht="90" x14ac:dyDescent="0.25">
      <c r="A57" s="10"/>
      <c r="B57" s="11"/>
      <c r="C57" s="10" t="s">
        <v>316</v>
      </c>
      <c r="D57" s="11" t="s">
        <v>152</v>
      </c>
      <c r="E57" s="19" t="s">
        <v>317</v>
      </c>
      <c r="F57" s="5" t="s">
        <v>53</v>
      </c>
      <c r="G57" s="62">
        <v>2425</v>
      </c>
      <c r="H57" s="62">
        <v>783.35149999999999</v>
      </c>
      <c r="I57" s="62">
        <v>1270.5115000000001</v>
      </c>
      <c r="J57" s="62">
        <v>2425</v>
      </c>
      <c r="K57" s="61">
        <v>2522</v>
      </c>
      <c r="L57" s="61">
        <v>2622.9</v>
      </c>
    </row>
    <row r="58" spans="1:12" ht="60" x14ac:dyDescent="0.25">
      <c r="A58" s="10"/>
      <c r="B58" s="11"/>
      <c r="C58" s="10" t="s">
        <v>319</v>
      </c>
      <c r="D58" s="11" t="s">
        <v>152</v>
      </c>
      <c r="E58" s="19" t="s">
        <v>313</v>
      </c>
      <c r="F58" s="5" t="s">
        <v>281</v>
      </c>
      <c r="G58" s="62">
        <v>45</v>
      </c>
      <c r="H58" s="62">
        <v>0</v>
      </c>
      <c r="I58" s="62">
        <v>29.5</v>
      </c>
      <c r="J58" s="62">
        <v>45</v>
      </c>
      <c r="K58" s="61">
        <v>46.9</v>
      </c>
      <c r="L58" s="61">
        <v>48.7</v>
      </c>
    </row>
    <row r="59" spans="1:12" s="17" customFormat="1" ht="30" x14ac:dyDescent="0.25">
      <c r="A59" s="16"/>
      <c r="B59" s="15" t="s">
        <v>155</v>
      </c>
      <c r="C59" s="16" t="s">
        <v>156</v>
      </c>
      <c r="D59" s="15" t="s">
        <v>155</v>
      </c>
      <c r="E59" s="21"/>
      <c r="F59" s="5" t="s">
        <v>54</v>
      </c>
      <c r="G59" s="69">
        <f>G60+G61+G62</f>
        <v>166</v>
      </c>
      <c r="H59" s="69">
        <f t="shared" ref="H59:L59" si="22">H60+H61+H62</f>
        <v>199.03654</v>
      </c>
      <c r="I59" s="69">
        <f t="shared" si="22"/>
        <v>260.39125000000001</v>
      </c>
      <c r="J59" s="69">
        <f t="shared" si="22"/>
        <v>203.39999999999998</v>
      </c>
      <c r="K59" s="69">
        <f>K60+K61+K62</f>
        <v>211.5</v>
      </c>
      <c r="L59" s="69">
        <f t="shared" si="22"/>
        <v>219.89999999999998</v>
      </c>
    </row>
    <row r="60" spans="1:12" ht="90" x14ac:dyDescent="0.25">
      <c r="A60" s="10"/>
      <c r="B60" s="11"/>
      <c r="C60" s="10" t="s">
        <v>320</v>
      </c>
      <c r="D60" s="11" t="s">
        <v>321</v>
      </c>
      <c r="E60" s="19" t="s">
        <v>317</v>
      </c>
      <c r="F60" s="5" t="s">
        <v>55</v>
      </c>
      <c r="G60" s="61">
        <v>125</v>
      </c>
      <c r="H60" s="61">
        <v>84.177310000000006</v>
      </c>
      <c r="I60" s="61">
        <v>114.27109</v>
      </c>
      <c r="J60" s="61">
        <v>131.6</v>
      </c>
      <c r="K60" s="61">
        <v>136.9</v>
      </c>
      <c r="L60" s="61">
        <v>142.19999999999999</v>
      </c>
    </row>
    <row r="61" spans="1:12" ht="60" x14ac:dyDescent="0.25">
      <c r="A61" s="10"/>
      <c r="B61" s="11"/>
      <c r="C61" s="10" t="s">
        <v>322</v>
      </c>
      <c r="D61" s="11" t="s">
        <v>321</v>
      </c>
      <c r="E61" s="19" t="s">
        <v>313</v>
      </c>
      <c r="F61" s="5" t="s">
        <v>56</v>
      </c>
      <c r="G61" s="61">
        <v>41</v>
      </c>
      <c r="H61" s="61">
        <v>112.60923</v>
      </c>
      <c r="I61" s="61">
        <v>135.86383000000001</v>
      </c>
      <c r="J61" s="61">
        <v>71.8</v>
      </c>
      <c r="K61" s="61">
        <v>74.599999999999994</v>
      </c>
      <c r="L61" s="61">
        <v>77.7</v>
      </c>
    </row>
    <row r="62" spans="1:12" ht="60" x14ac:dyDescent="0.25">
      <c r="A62" s="10"/>
      <c r="B62" s="11"/>
      <c r="C62" s="10" t="s">
        <v>323</v>
      </c>
      <c r="D62" s="11" t="s">
        <v>154</v>
      </c>
      <c r="E62" s="19" t="s">
        <v>313</v>
      </c>
      <c r="F62" s="5" t="s">
        <v>57</v>
      </c>
      <c r="G62" s="61">
        <v>0</v>
      </c>
      <c r="H62" s="61">
        <v>2.25</v>
      </c>
      <c r="I62" s="61">
        <v>10.25633</v>
      </c>
      <c r="J62" s="61">
        <v>0</v>
      </c>
      <c r="K62" s="61">
        <v>0</v>
      </c>
      <c r="L62" s="61">
        <v>0</v>
      </c>
    </row>
    <row r="63" spans="1:12" s="8" customFormat="1" ht="43.5" x14ac:dyDescent="0.25">
      <c r="A63" s="13"/>
      <c r="B63" s="12" t="s">
        <v>157</v>
      </c>
      <c r="C63" s="13" t="s">
        <v>159</v>
      </c>
      <c r="D63" s="12" t="s">
        <v>158</v>
      </c>
      <c r="E63" s="20"/>
      <c r="F63" s="5" t="s">
        <v>58</v>
      </c>
      <c r="G63" s="63">
        <f>G70+G64</f>
        <v>1275</v>
      </c>
      <c r="H63" s="63">
        <f t="shared" ref="H63:L63" si="23">H70+H64</f>
        <v>1160.1446000000001</v>
      </c>
      <c r="I63" s="63">
        <f t="shared" si="23"/>
        <v>1380.61779</v>
      </c>
      <c r="J63" s="63">
        <f t="shared" si="23"/>
        <v>1090</v>
      </c>
      <c r="K63" s="63">
        <f t="shared" si="23"/>
        <v>962.8</v>
      </c>
      <c r="L63" s="63">
        <f t="shared" si="23"/>
        <v>847.69999999999993</v>
      </c>
    </row>
    <row r="64" spans="1:12" s="17" customFormat="1" ht="90" x14ac:dyDescent="0.25">
      <c r="A64" s="16"/>
      <c r="B64" s="15" t="s">
        <v>161</v>
      </c>
      <c r="C64" s="16" t="s">
        <v>160</v>
      </c>
      <c r="D64" s="15" t="s">
        <v>161</v>
      </c>
      <c r="E64" s="21"/>
      <c r="F64" s="5" t="s">
        <v>59</v>
      </c>
      <c r="G64" s="69">
        <f>G65+G66+G67+G68+G69</f>
        <v>1175</v>
      </c>
      <c r="H64" s="69">
        <f t="shared" ref="H64:L64" si="24">H65+H66+H67+H68+H69</f>
        <v>1160.1446000000001</v>
      </c>
      <c r="I64" s="69">
        <f t="shared" si="24"/>
        <v>1330.61779</v>
      </c>
      <c r="J64" s="69">
        <f t="shared" si="24"/>
        <v>1010</v>
      </c>
      <c r="K64" s="69">
        <f t="shared" si="24"/>
        <v>890.8</v>
      </c>
      <c r="L64" s="69">
        <f t="shared" si="24"/>
        <v>782.9</v>
      </c>
    </row>
    <row r="65" spans="1:16" ht="75" x14ac:dyDescent="0.25">
      <c r="A65" s="10"/>
      <c r="B65" s="11"/>
      <c r="C65" s="10" t="s">
        <v>163</v>
      </c>
      <c r="D65" s="11" t="s">
        <v>162</v>
      </c>
      <c r="E65" s="19" t="s">
        <v>314</v>
      </c>
      <c r="F65" s="5" t="s">
        <v>60</v>
      </c>
      <c r="G65" s="62">
        <v>800</v>
      </c>
      <c r="H65" s="62">
        <v>919.46623</v>
      </c>
      <c r="I65" s="62">
        <v>919.46623</v>
      </c>
      <c r="J65" s="62">
        <v>760</v>
      </c>
      <c r="K65" s="62">
        <v>670</v>
      </c>
      <c r="L65" s="62">
        <v>590</v>
      </c>
      <c r="M65" t="s">
        <v>505</v>
      </c>
    </row>
    <row r="66" spans="1:16" ht="75" x14ac:dyDescent="0.25">
      <c r="A66" s="10"/>
      <c r="B66" s="11"/>
      <c r="C66" s="10" t="s">
        <v>324</v>
      </c>
      <c r="D66" s="11" t="s">
        <v>164</v>
      </c>
      <c r="E66" s="19" t="s">
        <v>314</v>
      </c>
      <c r="F66" s="5" t="s">
        <v>61</v>
      </c>
      <c r="G66" s="62">
        <v>150</v>
      </c>
      <c r="H66" s="62">
        <v>82.900570000000002</v>
      </c>
      <c r="I66" s="62">
        <v>114.33871000000001</v>
      </c>
      <c r="J66" s="62">
        <v>140</v>
      </c>
      <c r="K66" s="62">
        <v>124.8</v>
      </c>
      <c r="L66" s="62">
        <v>107.5</v>
      </c>
    </row>
    <row r="67" spans="1:16" ht="75" x14ac:dyDescent="0.25">
      <c r="A67" s="10"/>
      <c r="B67" s="11"/>
      <c r="C67" s="10" t="s">
        <v>325</v>
      </c>
      <c r="D67" s="11" t="s">
        <v>326</v>
      </c>
      <c r="E67" s="19" t="s">
        <v>314</v>
      </c>
      <c r="F67" s="5" t="s">
        <v>62</v>
      </c>
      <c r="G67" s="62">
        <v>0</v>
      </c>
      <c r="H67" s="62">
        <v>71.812849999999997</v>
      </c>
      <c r="I67" s="84">
        <v>71.812849999999997</v>
      </c>
      <c r="J67" s="62">
        <v>0</v>
      </c>
      <c r="K67" s="62">
        <v>0</v>
      </c>
      <c r="L67" s="62">
        <v>0</v>
      </c>
    </row>
    <row r="68" spans="1:16" ht="120" x14ac:dyDescent="0.25">
      <c r="A68" s="10"/>
      <c r="B68" s="11"/>
      <c r="C68" s="10" t="s">
        <v>258</v>
      </c>
      <c r="D68" s="11" t="s">
        <v>259</v>
      </c>
      <c r="E68" s="19" t="s">
        <v>314</v>
      </c>
      <c r="F68" s="5" t="s">
        <v>246</v>
      </c>
      <c r="G68" s="62">
        <v>175</v>
      </c>
      <c r="H68" s="62">
        <v>80.445530000000005</v>
      </c>
      <c r="I68" s="84">
        <v>175</v>
      </c>
      <c r="J68" s="62">
        <v>80</v>
      </c>
      <c r="K68" s="62">
        <v>66</v>
      </c>
      <c r="L68" s="62">
        <v>57.4</v>
      </c>
      <c r="N68" s="64">
        <f>I68+I69</f>
        <v>225</v>
      </c>
    </row>
    <row r="69" spans="1:16" ht="105" x14ac:dyDescent="0.25">
      <c r="A69" s="10"/>
      <c r="B69" s="11"/>
      <c r="C69" s="10" t="s">
        <v>329</v>
      </c>
      <c r="D69" s="11" t="s">
        <v>327</v>
      </c>
      <c r="E69" s="19" t="s">
        <v>314</v>
      </c>
      <c r="F69" s="5" t="s">
        <v>63</v>
      </c>
      <c r="G69" s="62">
        <v>50</v>
      </c>
      <c r="H69" s="62">
        <v>5.5194200000000002</v>
      </c>
      <c r="I69" s="84">
        <v>50</v>
      </c>
      <c r="J69" s="62">
        <v>30</v>
      </c>
      <c r="K69" s="62">
        <v>30</v>
      </c>
      <c r="L69" s="62">
        <v>28</v>
      </c>
    </row>
    <row r="70" spans="1:16" s="17" customFormat="1" ht="75" x14ac:dyDescent="0.25">
      <c r="A70" s="16"/>
      <c r="B70" s="15" t="s">
        <v>332</v>
      </c>
      <c r="C70" s="16" t="s">
        <v>331</v>
      </c>
      <c r="D70" s="15" t="s">
        <v>332</v>
      </c>
      <c r="E70" s="21"/>
      <c r="F70" s="5" t="s">
        <v>64</v>
      </c>
      <c r="G70" s="68">
        <f>G71</f>
        <v>100</v>
      </c>
      <c r="H70" s="68">
        <f t="shared" ref="H70:L70" si="25">H71</f>
        <v>0</v>
      </c>
      <c r="I70" s="85">
        <f t="shared" si="25"/>
        <v>50</v>
      </c>
      <c r="J70" s="68">
        <f t="shared" si="25"/>
        <v>80</v>
      </c>
      <c r="K70" s="68">
        <f t="shared" si="25"/>
        <v>72</v>
      </c>
      <c r="L70" s="68">
        <f t="shared" si="25"/>
        <v>64.8</v>
      </c>
      <c r="P70" s="18">
        <f>P71+P74+P78+P79+P80+P89+P75+P76+P77+P72+P73+P81+P82+P83+P84+P85+P86+P87+P88</f>
        <v>211.40643999999998</v>
      </c>
    </row>
    <row r="71" spans="1:16" ht="75" x14ac:dyDescent="0.25">
      <c r="A71" s="10"/>
      <c r="B71" s="11"/>
      <c r="C71" s="10" t="s">
        <v>330</v>
      </c>
      <c r="D71" s="11" t="s">
        <v>328</v>
      </c>
      <c r="E71" s="19" t="s">
        <v>314</v>
      </c>
      <c r="F71" s="5" t="s">
        <v>247</v>
      </c>
      <c r="G71" s="62">
        <v>100</v>
      </c>
      <c r="H71" s="62">
        <v>0</v>
      </c>
      <c r="I71" s="84">
        <v>50</v>
      </c>
      <c r="J71" s="62">
        <v>80</v>
      </c>
      <c r="K71" s="62">
        <v>72</v>
      </c>
      <c r="L71" s="62">
        <v>64.8</v>
      </c>
      <c r="P71">
        <v>211.40643999999998</v>
      </c>
    </row>
    <row r="72" spans="1:16" s="8" customFormat="1" ht="29.25" x14ac:dyDescent="0.25">
      <c r="A72" s="13"/>
      <c r="B72" s="12" t="s">
        <v>165</v>
      </c>
      <c r="C72" s="13" t="s">
        <v>167</v>
      </c>
      <c r="D72" s="12" t="s">
        <v>166</v>
      </c>
      <c r="E72" s="20"/>
      <c r="F72" s="5" t="s">
        <v>282</v>
      </c>
      <c r="G72" s="63">
        <f>G73+G76+G80+G81+G82+G91+G77+G78+G79+G74+G75+G83+G84+G85+G86+G87+G88+G89+G90</f>
        <v>196.5</v>
      </c>
      <c r="H72" s="63">
        <f>H73+H76+H80+H81+H82+H91+H77+H78+H79+H74+H75+H83+H84+H85+H86+H87+H88+H89+H90</f>
        <v>211.40583999999996</v>
      </c>
      <c r="I72" s="63">
        <f t="shared" ref="I72" si="26">I73+I76+I80+I81+I82+I91+I77+I78+I79+I74+I75+I83+I84+I85+I86+I87+I88+I89+I90</f>
        <v>260.10578999999996</v>
      </c>
      <c r="J72" s="63">
        <f>J73+J76+J80+J81+J82+J91+J77+J78+J79+J74+J75+J83+J84+J85+J86+J87+J88+J89+J90+J93+J94</f>
        <v>96.7</v>
      </c>
      <c r="K72" s="63">
        <f t="shared" ref="K72:L72" si="27">K73+K76+K80+K81+K82+K91+K77+K78+K79+K74+K75+K83+K84+K85+K86+K87+K88+K89+K90+K93+K94</f>
        <v>100.6</v>
      </c>
      <c r="L72" s="63">
        <f t="shared" si="27"/>
        <v>104.6</v>
      </c>
      <c r="O72" s="8">
        <v>211.40583999999996</v>
      </c>
    </row>
    <row r="73" spans="1:16" ht="90" x14ac:dyDescent="0.25">
      <c r="A73" s="10"/>
      <c r="B73" s="11"/>
      <c r="C73" s="10" t="s">
        <v>333</v>
      </c>
      <c r="D73" s="11" t="s">
        <v>335</v>
      </c>
      <c r="E73" s="19" t="s">
        <v>334</v>
      </c>
      <c r="F73" s="5" t="s">
        <v>65</v>
      </c>
      <c r="G73" s="61">
        <v>0</v>
      </c>
      <c r="H73" s="61">
        <v>3.5</v>
      </c>
      <c r="I73" s="61">
        <f>H73</f>
        <v>3.5</v>
      </c>
      <c r="J73" s="61">
        <v>0</v>
      </c>
      <c r="K73" s="62">
        <v>0</v>
      </c>
      <c r="L73" s="62">
        <v>0</v>
      </c>
    </row>
    <row r="74" spans="1:16" ht="90" x14ac:dyDescent="0.25">
      <c r="A74" s="10"/>
      <c r="B74" s="11"/>
      <c r="C74" s="10" t="s">
        <v>337</v>
      </c>
      <c r="D74" s="11" t="s">
        <v>335</v>
      </c>
      <c r="E74" s="19" t="s">
        <v>336</v>
      </c>
      <c r="F74" s="5" t="s">
        <v>66</v>
      </c>
      <c r="G74" s="61">
        <v>0</v>
      </c>
      <c r="H74" s="61">
        <v>7.6950799999999999</v>
      </c>
      <c r="I74" s="61">
        <f>H74</f>
        <v>7.6950799999999999</v>
      </c>
      <c r="J74" s="61">
        <v>0</v>
      </c>
      <c r="K74" s="62">
        <v>0</v>
      </c>
      <c r="L74" s="62">
        <v>0</v>
      </c>
    </row>
    <row r="75" spans="1:16" ht="105" x14ac:dyDescent="0.25">
      <c r="A75" s="10"/>
      <c r="B75" s="11"/>
      <c r="C75" s="10" t="s">
        <v>338</v>
      </c>
      <c r="D75" s="11" t="s">
        <v>339</v>
      </c>
      <c r="E75" s="19" t="s">
        <v>340</v>
      </c>
      <c r="F75" s="5" t="s">
        <v>67</v>
      </c>
      <c r="G75" s="61">
        <v>0</v>
      </c>
      <c r="H75" s="61">
        <v>1.9750000000000001</v>
      </c>
      <c r="I75" s="61">
        <v>2.7749999999999999</v>
      </c>
      <c r="J75" s="61">
        <v>0</v>
      </c>
      <c r="K75" s="62">
        <v>0</v>
      </c>
      <c r="L75" s="62">
        <v>0</v>
      </c>
    </row>
    <row r="76" spans="1:16" ht="135" x14ac:dyDescent="0.25">
      <c r="A76" s="10"/>
      <c r="B76" s="11"/>
      <c r="C76" s="10" t="s">
        <v>342</v>
      </c>
      <c r="D76" s="11" t="s">
        <v>341</v>
      </c>
      <c r="E76" s="19" t="s">
        <v>340</v>
      </c>
      <c r="F76" s="5" t="s">
        <v>248</v>
      </c>
      <c r="G76" s="61">
        <v>0</v>
      </c>
      <c r="H76" s="61">
        <v>4.75</v>
      </c>
      <c r="I76" s="61">
        <v>7</v>
      </c>
      <c r="J76" s="61">
        <v>5</v>
      </c>
      <c r="K76" s="61">
        <v>5</v>
      </c>
      <c r="L76" s="61">
        <v>5</v>
      </c>
    </row>
    <row r="77" spans="1:16" ht="105" x14ac:dyDescent="0.25">
      <c r="A77" s="10"/>
      <c r="B77" s="11"/>
      <c r="C77" s="10" t="s">
        <v>343</v>
      </c>
      <c r="D77" s="11" t="s">
        <v>344</v>
      </c>
      <c r="E77" s="19" t="s">
        <v>340</v>
      </c>
      <c r="F77" s="5" t="s">
        <v>136</v>
      </c>
      <c r="G77" s="61">
        <v>0</v>
      </c>
      <c r="H77" s="61">
        <v>0.5</v>
      </c>
      <c r="I77" s="61">
        <f>H77</f>
        <v>0.5</v>
      </c>
      <c r="J77" s="61">
        <v>0</v>
      </c>
      <c r="K77" s="61">
        <v>0</v>
      </c>
      <c r="L77" s="61">
        <v>0</v>
      </c>
    </row>
    <row r="78" spans="1:16" ht="120" x14ac:dyDescent="0.25">
      <c r="A78" s="10"/>
      <c r="B78" s="11"/>
      <c r="C78" s="10" t="s">
        <v>345</v>
      </c>
      <c r="D78" s="11" t="s">
        <v>346</v>
      </c>
      <c r="E78" s="19" t="s">
        <v>340</v>
      </c>
      <c r="F78" s="5" t="s">
        <v>137</v>
      </c>
      <c r="G78" s="61">
        <v>0</v>
      </c>
      <c r="H78" s="61">
        <v>2.25</v>
      </c>
      <c r="I78" s="61">
        <v>5.5</v>
      </c>
      <c r="J78" s="61">
        <v>0</v>
      </c>
      <c r="K78" s="61">
        <v>0</v>
      </c>
      <c r="L78" s="61">
        <v>0</v>
      </c>
    </row>
    <row r="79" spans="1:16" ht="90" x14ac:dyDescent="0.25">
      <c r="A79" s="10"/>
      <c r="B79" s="11"/>
      <c r="C79" s="10" t="s">
        <v>347</v>
      </c>
      <c r="D79" s="11" t="s">
        <v>348</v>
      </c>
      <c r="E79" s="19" t="s">
        <v>71</v>
      </c>
      <c r="F79" s="5" t="s">
        <v>138</v>
      </c>
      <c r="G79" s="61">
        <v>0</v>
      </c>
      <c r="H79" s="61">
        <v>4.6644500000000004</v>
      </c>
      <c r="I79" s="61">
        <f>H79</f>
        <v>4.6644500000000004</v>
      </c>
      <c r="J79" s="61">
        <v>0</v>
      </c>
      <c r="K79" s="61">
        <v>0</v>
      </c>
      <c r="L79" s="61">
        <v>0</v>
      </c>
    </row>
    <row r="80" spans="1:16" ht="150" x14ac:dyDescent="0.25">
      <c r="A80" s="10"/>
      <c r="B80" s="11"/>
      <c r="C80" s="10" t="s">
        <v>349</v>
      </c>
      <c r="D80" s="11" t="s">
        <v>350</v>
      </c>
      <c r="E80" s="19" t="s">
        <v>310</v>
      </c>
      <c r="F80" s="5" t="s">
        <v>176</v>
      </c>
      <c r="G80" s="61">
        <v>20</v>
      </c>
      <c r="H80" s="61">
        <v>0</v>
      </c>
      <c r="I80" s="61">
        <f>H80</f>
        <v>0</v>
      </c>
      <c r="J80" s="61">
        <v>0</v>
      </c>
      <c r="K80" s="61">
        <v>0</v>
      </c>
      <c r="L80" s="61">
        <v>0</v>
      </c>
    </row>
    <row r="81" spans="1:12" ht="90" x14ac:dyDescent="0.25">
      <c r="A81" s="10"/>
      <c r="B81" s="11"/>
      <c r="C81" s="10" t="s">
        <v>351</v>
      </c>
      <c r="D81" s="11" t="s">
        <v>335</v>
      </c>
      <c r="E81" s="19" t="s">
        <v>310</v>
      </c>
      <c r="F81" s="5" t="s">
        <v>177</v>
      </c>
      <c r="G81" s="61">
        <v>156.5</v>
      </c>
      <c r="H81" s="61">
        <v>113.62126000000001</v>
      </c>
      <c r="I81" s="61">
        <f>H81</f>
        <v>113.62126000000001</v>
      </c>
      <c r="J81" s="61">
        <v>0</v>
      </c>
      <c r="K81" s="61">
        <v>0</v>
      </c>
      <c r="L81" s="61">
        <v>0</v>
      </c>
    </row>
    <row r="82" spans="1:12" ht="105" x14ac:dyDescent="0.25">
      <c r="A82" s="10"/>
      <c r="B82" s="11"/>
      <c r="C82" s="10" t="s">
        <v>352</v>
      </c>
      <c r="D82" s="11" t="s">
        <v>339</v>
      </c>
      <c r="E82" s="34" t="s">
        <v>353</v>
      </c>
      <c r="F82" s="5" t="s">
        <v>178</v>
      </c>
      <c r="G82" s="61">
        <v>0</v>
      </c>
      <c r="H82" s="61">
        <v>7</v>
      </c>
      <c r="I82" s="61">
        <f>H82</f>
        <v>7</v>
      </c>
      <c r="J82" s="61">
        <v>0</v>
      </c>
      <c r="K82" s="61">
        <v>0</v>
      </c>
      <c r="L82" s="61">
        <v>0</v>
      </c>
    </row>
    <row r="83" spans="1:12" ht="105" x14ac:dyDescent="0.25">
      <c r="A83" s="10"/>
      <c r="B83" s="11"/>
      <c r="C83" s="10" t="s">
        <v>354</v>
      </c>
      <c r="D83" s="11" t="s">
        <v>344</v>
      </c>
      <c r="E83" s="34" t="s">
        <v>353</v>
      </c>
      <c r="F83" s="5" t="s">
        <v>179</v>
      </c>
      <c r="G83" s="61">
        <v>0</v>
      </c>
      <c r="H83" s="61">
        <v>1.5</v>
      </c>
      <c r="I83" s="61">
        <f>H83</f>
        <v>1.5</v>
      </c>
      <c r="J83" s="61">
        <v>0</v>
      </c>
      <c r="K83" s="61">
        <v>0</v>
      </c>
      <c r="L83" s="61">
        <v>0</v>
      </c>
    </row>
    <row r="84" spans="1:12" ht="120" x14ac:dyDescent="0.25">
      <c r="A84" s="10"/>
      <c r="B84" s="11"/>
      <c r="C84" s="10" t="s">
        <v>355</v>
      </c>
      <c r="D84" s="11" t="s">
        <v>356</v>
      </c>
      <c r="E84" s="34" t="s">
        <v>353</v>
      </c>
      <c r="F84" s="5" t="s">
        <v>180</v>
      </c>
      <c r="G84" s="61">
        <v>0</v>
      </c>
      <c r="H84" s="61">
        <v>22.5</v>
      </c>
      <c r="I84" s="61">
        <v>30</v>
      </c>
      <c r="J84" s="61">
        <v>22</v>
      </c>
      <c r="K84" s="61">
        <v>22</v>
      </c>
      <c r="L84" s="61">
        <v>22</v>
      </c>
    </row>
    <row r="85" spans="1:12" ht="150" x14ac:dyDescent="0.25">
      <c r="A85" s="10"/>
      <c r="B85" s="11"/>
      <c r="C85" s="10" t="s">
        <v>357</v>
      </c>
      <c r="D85" s="11" t="s">
        <v>358</v>
      </c>
      <c r="E85" s="34" t="s">
        <v>353</v>
      </c>
      <c r="F85" s="5" t="s">
        <v>181</v>
      </c>
      <c r="G85" s="61">
        <v>0</v>
      </c>
      <c r="H85" s="61">
        <v>0.85</v>
      </c>
      <c r="I85" s="61">
        <f>H85</f>
        <v>0.85</v>
      </c>
      <c r="J85" s="61">
        <v>0</v>
      </c>
      <c r="K85" s="61">
        <v>0</v>
      </c>
      <c r="L85" s="61">
        <v>0</v>
      </c>
    </row>
    <row r="86" spans="1:12" ht="105" x14ac:dyDescent="0.25">
      <c r="A86" s="10"/>
      <c r="B86" s="11"/>
      <c r="C86" s="10" t="s">
        <v>359</v>
      </c>
      <c r="D86" s="11" t="s">
        <v>360</v>
      </c>
      <c r="E86" s="34" t="s">
        <v>353</v>
      </c>
      <c r="F86" s="5" t="s">
        <v>182</v>
      </c>
      <c r="G86" s="61">
        <v>0</v>
      </c>
      <c r="H86" s="61">
        <v>6.65</v>
      </c>
      <c r="I86" s="61">
        <v>22.8</v>
      </c>
      <c r="J86" s="61">
        <v>0</v>
      </c>
      <c r="K86" s="61">
        <v>0</v>
      </c>
      <c r="L86" s="61">
        <v>0</v>
      </c>
    </row>
    <row r="87" spans="1:12" ht="120" x14ac:dyDescent="0.25">
      <c r="A87" s="10"/>
      <c r="B87" s="11"/>
      <c r="C87" s="10" t="s">
        <v>361</v>
      </c>
      <c r="D87" s="11" t="s">
        <v>346</v>
      </c>
      <c r="E87" s="34" t="s">
        <v>353</v>
      </c>
      <c r="F87" s="5" t="s">
        <v>183</v>
      </c>
      <c r="G87" s="61">
        <v>0</v>
      </c>
      <c r="H87" s="61">
        <v>31.35</v>
      </c>
      <c r="I87" s="61">
        <v>48.1</v>
      </c>
      <c r="J87" s="61">
        <v>26</v>
      </c>
      <c r="K87" s="61">
        <v>26</v>
      </c>
      <c r="L87" s="61">
        <v>26</v>
      </c>
    </row>
    <row r="88" spans="1:12" ht="90" x14ac:dyDescent="0.25">
      <c r="A88" s="10"/>
      <c r="B88" s="11"/>
      <c r="C88" s="10" t="s">
        <v>362</v>
      </c>
      <c r="D88" s="11" t="s">
        <v>335</v>
      </c>
      <c r="E88" s="34" t="s">
        <v>363</v>
      </c>
      <c r="F88" s="5" t="s">
        <v>184</v>
      </c>
      <c r="G88" s="61">
        <v>0</v>
      </c>
      <c r="H88" s="61">
        <v>1</v>
      </c>
      <c r="I88" s="61">
        <f>H88</f>
        <v>1</v>
      </c>
      <c r="J88" s="61">
        <v>0</v>
      </c>
      <c r="K88" s="61">
        <v>0</v>
      </c>
      <c r="L88" s="61">
        <v>0</v>
      </c>
    </row>
    <row r="89" spans="1:12" ht="90" x14ac:dyDescent="0.25">
      <c r="A89" s="10"/>
      <c r="B89" s="11"/>
      <c r="C89" s="10" t="s">
        <v>364</v>
      </c>
      <c r="D89" s="11" t="s">
        <v>365</v>
      </c>
      <c r="E89" s="34" t="s">
        <v>313</v>
      </c>
      <c r="F89" s="5" t="s">
        <v>185</v>
      </c>
      <c r="G89" s="61">
        <v>20</v>
      </c>
      <c r="H89" s="61">
        <v>0</v>
      </c>
      <c r="I89" s="61">
        <f>H89</f>
        <v>0</v>
      </c>
      <c r="J89" s="61">
        <v>0</v>
      </c>
      <c r="K89" s="61">
        <v>0</v>
      </c>
      <c r="L89" s="61">
        <v>0</v>
      </c>
    </row>
    <row r="90" spans="1:12" ht="90" x14ac:dyDescent="0.25">
      <c r="A90" s="10"/>
      <c r="B90" s="11"/>
      <c r="C90" s="10" t="s">
        <v>366</v>
      </c>
      <c r="D90" s="11" t="s">
        <v>335</v>
      </c>
      <c r="E90" s="34" t="s">
        <v>313</v>
      </c>
      <c r="F90" s="5" t="s">
        <v>186</v>
      </c>
      <c r="G90" s="61">
        <v>0</v>
      </c>
      <c r="H90" s="61">
        <v>1.5000500000000001</v>
      </c>
      <c r="I90" s="61">
        <v>3.5</v>
      </c>
      <c r="J90" s="61">
        <v>0</v>
      </c>
      <c r="K90" s="61">
        <v>0</v>
      </c>
      <c r="L90" s="61">
        <v>0</v>
      </c>
    </row>
    <row r="91" spans="1:12" ht="90" x14ac:dyDescent="0.25">
      <c r="A91" s="10"/>
      <c r="B91" s="11"/>
      <c r="C91" s="10" t="s">
        <v>367</v>
      </c>
      <c r="D91" s="11" t="s">
        <v>335</v>
      </c>
      <c r="E91" s="34" t="s">
        <v>168</v>
      </c>
      <c r="F91" s="5" t="s">
        <v>187</v>
      </c>
      <c r="G91" s="61">
        <v>0</v>
      </c>
      <c r="H91" s="61">
        <v>0.1</v>
      </c>
      <c r="I91" s="61">
        <f>H91</f>
        <v>0.1</v>
      </c>
      <c r="J91" s="61">
        <v>0</v>
      </c>
      <c r="K91" s="61">
        <v>0</v>
      </c>
      <c r="L91" s="61">
        <v>0</v>
      </c>
    </row>
    <row r="92" spans="1:12" s="17" customFormat="1" ht="31.5" customHeight="1" x14ac:dyDescent="0.25">
      <c r="A92" s="16"/>
      <c r="B92" s="15"/>
      <c r="C92" s="16" t="s">
        <v>473</v>
      </c>
      <c r="D92" s="15" t="s">
        <v>472</v>
      </c>
      <c r="E92" s="39"/>
      <c r="F92" s="5" t="s">
        <v>188</v>
      </c>
      <c r="G92" s="69">
        <f>G93+G94</f>
        <v>0</v>
      </c>
      <c r="H92" s="69">
        <f t="shared" ref="H92:L92" si="28">H93+H94</f>
        <v>0</v>
      </c>
      <c r="I92" s="69">
        <f t="shared" si="28"/>
        <v>0</v>
      </c>
      <c r="J92" s="69">
        <f t="shared" si="28"/>
        <v>43.7</v>
      </c>
      <c r="K92" s="69">
        <f t="shared" si="28"/>
        <v>47.6</v>
      </c>
      <c r="L92" s="69">
        <f t="shared" si="28"/>
        <v>51.6</v>
      </c>
    </row>
    <row r="93" spans="1:12" ht="45" x14ac:dyDescent="0.25">
      <c r="A93" s="10"/>
      <c r="B93" s="11"/>
      <c r="C93" s="10" t="s">
        <v>474</v>
      </c>
      <c r="D93" s="11" t="s">
        <v>475</v>
      </c>
      <c r="E93" s="34" t="s">
        <v>310</v>
      </c>
      <c r="F93" s="5" t="s">
        <v>189</v>
      </c>
      <c r="G93" s="61">
        <v>0</v>
      </c>
      <c r="H93" s="61">
        <v>0</v>
      </c>
      <c r="I93" s="61">
        <v>0</v>
      </c>
      <c r="J93" s="61">
        <v>42.7</v>
      </c>
      <c r="K93" s="61">
        <v>46.6</v>
      </c>
      <c r="L93" s="61">
        <v>50.6</v>
      </c>
    </row>
    <row r="94" spans="1:12" ht="105" x14ac:dyDescent="0.25">
      <c r="A94" s="10"/>
      <c r="B94" s="11"/>
      <c r="C94" s="10" t="s">
        <v>489</v>
      </c>
      <c r="D94" s="11" t="s">
        <v>488</v>
      </c>
      <c r="E94" s="34" t="s">
        <v>313</v>
      </c>
      <c r="F94" s="5" t="s">
        <v>190</v>
      </c>
      <c r="G94" s="61">
        <v>0</v>
      </c>
      <c r="H94" s="61">
        <v>0</v>
      </c>
      <c r="I94" s="61">
        <v>0</v>
      </c>
      <c r="J94" s="61">
        <v>1</v>
      </c>
      <c r="K94" s="61">
        <v>1</v>
      </c>
      <c r="L94" s="61">
        <v>1</v>
      </c>
    </row>
    <row r="95" spans="1:12" s="8" customFormat="1" ht="29.25" x14ac:dyDescent="0.25">
      <c r="A95" s="13"/>
      <c r="B95" s="12" t="s">
        <v>238</v>
      </c>
      <c r="C95" s="13" t="s">
        <v>239</v>
      </c>
      <c r="D95" s="12" t="s">
        <v>238</v>
      </c>
      <c r="E95" s="38"/>
      <c r="F95" s="5" t="s">
        <v>191</v>
      </c>
      <c r="G95" s="63">
        <f>G96</f>
        <v>0</v>
      </c>
      <c r="H95" s="63">
        <f t="shared" ref="H95:L95" si="29">H96</f>
        <v>56.816519999999997</v>
      </c>
      <c r="I95" s="63">
        <f>I96</f>
        <v>56.816519999999997</v>
      </c>
      <c r="J95" s="63">
        <f t="shared" si="29"/>
        <v>0</v>
      </c>
      <c r="K95" s="63">
        <f t="shared" si="29"/>
        <v>0</v>
      </c>
      <c r="L95" s="63">
        <f t="shared" si="29"/>
        <v>0</v>
      </c>
    </row>
    <row r="96" spans="1:12" s="17" customFormat="1" ht="15.75" x14ac:dyDescent="0.25">
      <c r="A96" s="16"/>
      <c r="B96" s="15" t="s">
        <v>240</v>
      </c>
      <c r="C96" s="16" t="s">
        <v>242</v>
      </c>
      <c r="D96" s="15" t="s">
        <v>240</v>
      </c>
      <c r="E96" s="39"/>
      <c r="F96" s="5" t="s">
        <v>192</v>
      </c>
      <c r="G96" s="69">
        <f>G97</f>
        <v>0</v>
      </c>
      <c r="H96" s="69">
        <f>H97+H98</f>
        <v>56.816519999999997</v>
      </c>
      <c r="I96" s="69">
        <f t="shared" ref="I96:L96" si="30">I97+I98</f>
        <v>56.816519999999997</v>
      </c>
      <c r="J96" s="69">
        <f t="shared" si="30"/>
        <v>0</v>
      </c>
      <c r="K96" s="69">
        <f t="shared" si="30"/>
        <v>0</v>
      </c>
      <c r="L96" s="69">
        <f t="shared" si="30"/>
        <v>0</v>
      </c>
    </row>
    <row r="97" spans="1:12" ht="75" x14ac:dyDescent="0.25">
      <c r="A97" s="10"/>
      <c r="B97" s="11"/>
      <c r="C97" s="10" t="s">
        <v>368</v>
      </c>
      <c r="D97" s="11" t="s">
        <v>241</v>
      </c>
      <c r="E97" s="19" t="s">
        <v>314</v>
      </c>
      <c r="F97" s="5" t="s">
        <v>193</v>
      </c>
      <c r="G97" s="61">
        <v>0</v>
      </c>
      <c r="H97" s="61">
        <v>30.73949</v>
      </c>
      <c r="I97" s="61">
        <f>H97</f>
        <v>30.73949</v>
      </c>
      <c r="J97" s="61">
        <v>0</v>
      </c>
      <c r="K97" s="61">
        <v>0</v>
      </c>
      <c r="L97" s="61">
        <v>0</v>
      </c>
    </row>
    <row r="98" spans="1:12" ht="75" x14ac:dyDescent="0.25">
      <c r="A98" s="10"/>
      <c r="B98" s="11"/>
      <c r="C98" s="10" t="s">
        <v>369</v>
      </c>
      <c r="D98" s="11" t="s">
        <v>370</v>
      </c>
      <c r="E98" s="19" t="s">
        <v>314</v>
      </c>
      <c r="F98" s="5" t="s">
        <v>194</v>
      </c>
      <c r="G98" s="61">
        <v>0</v>
      </c>
      <c r="H98" s="61">
        <v>26.077030000000001</v>
      </c>
      <c r="I98" s="61">
        <f>H98</f>
        <v>26.077030000000001</v>
      </c>
      <c r="J98" s="61">
        <v>0</v>
      </c>
      <c r="K98" s="61">
        <v>0</v>
      </c>
      <c r="L98" s="61">
        <v>0</v>
      </c>
    </row>
    <row r="99" spans="1:12" s="29" customFormat="1" ht="29.25" x14ac:dyDescent="0.25">
      <c r="A99" s="28"/>
      <c r="B99" s="22" t="s">
        <v>169</v>
      </c>
      <c r="C99" s="23" t="s">
        <v>170</v>
      </c>
      <c r="D99" s="22" t="s">
        <v>169</v>
      </c>
      <c r="E99" s="24"/>
      <c r="F99" s="5" t="s">
        <v>195</v>
      </c>
      <c r="G99" s="70">
        <f t="shared" ref="G99:L99" si="31">G100+G179+G176</f>
        <v>607589.19367999991</v>
      </c>
      <c r="H99" s="70">
        <f t="shared" si="31"/>
        <v>405870.33768000006</v>
      </c>
      <c r="I99" s="70">
        <f t="shared" si="31"/>
        <v>598752.1259199999</v>
      </c>
      <c r="J99" s="70">
        <f t="shared" si="31"/>
        <v>639690.50000000023</v>
      </c>
      <c r="K99" s="70">
        <f t="shared" si="31"/>
        <v>488452.60000000021</v>
      </c>
      <c r="L99" s="70">
        <f t="shared" si="31"/>
        <v>502405.30000000016</v>
      </c>
    </row>
    <row r="100" spans="1:12" s="8" customFormat="1" ht="57.75" x14ac:dyDescent="0.25">
      <c r="A100" s="13"/>
      <c r="B100" s="12" t="s">
        <v>171</v>
      </c>
      <c r="C100" s="13" t="s">
        <v>172</v>
      </c>
      <c r="D100" s="12" t="s">
        <v>173</v>
      </c>
      <c r="E100" s="20"/>
      <c r="F100" s="5" t="s">
        <v>196</v>
      </c>
      <c r="G100" s="63">
        <f t="shared" ref="G100:L100" si="32">G101+G104+G126+G166</f>
        <v>608155.96074000001</v>
      </c>
      <c r="H100" s="63">
        <f t="shared" si="32"/>
        <v>406437.10474000004</v>
      </c>
      <c r="I100" s="63">
        <f t="shared" si="32"/>
        <v>599318.89298</v>
      </c>
      <c r="J100" s="63">
        <f t="shared" si="32"/>
        <v>639690.50000000023</v>
      </c>
      <c r="K100" s="63">
        <f t="shared" si="32"/>
        <v>488452.60000000021</v>
      </c>
      <c r="L100" s="63">
        <f t="shared" si="32"/>
        <v>502405.30000000016</v>
      </c>
    </row>
    <row r="101" spans="1:12" s="8" customFormat="1" ht="72" x14ac:dyDescent="0.25">
      <c r="A101" s="13"/>
      <c r="B101" s="12" t="s">
        <v>174</v>
      </c>
      <c r="C101" s="13" t="s">
        <v>260</v>
      </c>
      <c r="D101" s="12" t="s">
        <v>174</v>
      </c>
      <c r="E101" s="20"/>
      <c r="F101" s="5" t="s">
        <v>197</v>
      </c>
      <c r="G101" s="63">
        <f>G102+G103</f>
        <v>229334.3</v>
      </c>
      <c r="H101" s="63">
        <f t="shared" ref="H101:L101" si="33">H102+H103</f>
        <v>167035.00911000001</v>
      </c>
      <c r="I101" s="63">
        <f t="shared" si="33"/>
        <v>229334.3</v>
      </c>
      <c r="J101" s="63">
        <f t="shared" si="33"/>
        <v>220600.4</v>
      </c>
      <c r="K101" s="63">
        <f t="shared" si="33"/>
        <v>182389</v>
      </c>
      <c r="L101" s="63">
        <f t="shared" si="33"/>
        <v>182670.7</v>
      </c>
    </row>
    <row r="102" spans="1:12" ht="75" x14ac:dyDescent="0.25">
      <c r="A102" s="25"/>
      <c r="B102" s="11"/>
      <c r="C102" s="11" t="s">
        <v>261</v>
      </c>
      <c r="D102" s="11" t="s">
        <v>175</v>
      </c>
      <c r="E102" s="19" t="s">
        <v>371</v>
      </c>
      <c r="F102" s="5" t="s">
        <v>198</v>
      </c>
      <c r="G102" s="62">
        <v>214334.3</v>
      </c>
      <c r="H102" s="62">
        <v>162713.18875</v>
      </c>
      <c r="I102" s="62">
        <f>G102</f>
        <v>214334.3</v>
      </c>
      <c r="J102" s="62">
        <v>220600.4</v>
      </c>
      <c r="K102" s="61">
        <v>182389</v>
      </c>
      <c r="L102" s="61">
        <v>182670.7</v>
      </c>
    </row>
    <row r="103" spans="1:12" ht="75" x14ac:dyDescent="0.25">
      <c r="A103" s="25"/>
      <c r="B103" s="11"/>
      <c r="C103" s="11" t="s">
        <v>283</v>
      </c>
      <c r="D103" s="11" t="s">
        <v>284</v>
      </c>
      <c r="E103" s="19" t="s">
        <v>371</v>
      </c>
      <c r="F103" s="5" t="s">
        <v>199</v>
      </c>
      <c r="G103" s="62">
        <v>15000</v>
      </c>
      <c r="H103" s="62">
        <v>4321.8203599999997</v>
      </c>
      <c r="I103" s="62">
        <f>G103</f>
        <v>15000</v>
      </c>
      <c r="J103" s="62">
        <v>0</v>
      </c>
      <c r="K103" s="61">
        <v>0</v>
      </c>
      <c r="L103" s="61">
        <v>0</v>
      </c>
    </row>
    <row r="104" spans="1:12" s="8" customFormat="1" ht="43.5" x14ac:dyDescent="0.25">
      <c r="A104" s="26"/>
      <c r="B104" s="12" t="s">
        <v>224</v>
      </c>
      <c r="C104" s="12" t="s">
        <v>262</v>
      </c>
      <c r="D104" s="12" t="s">
        <v>224</v>
      </c>
      <c r="E104" s="20"/>
      <c r="F104" s="5" t="s">
        <v>200</v>
      </c>
      <c r="G104" s="63">
        <f>G105+G106+G107+G108+G109+G112+G113+G114+G115</f>
        <v>85403.297349999993</v>
      </c>
      <c r="H104" s="63">
        <f t="shared" ref="H104:I104" si="34">H105+H106+H107+H108+H109+H112+H113+H114+H115</f>
        <v>47124.83844</v>
      </c>
      <c r="I104" s="63">
        <f t="shared" si="34"/>
        <v>76566.229590000003</v>
      </c>
      <c r="J104" s="63">
        <f>J105+J106+J107+J108+J109+J112+J113+J114+J115+J110+J111</f>
        <v>128113</v>
      </c>
      <c r="K104" s="63">
        <f t="shared" ref="K104:L104" si="35">K105+K106+K107+K108+K109+K112+K113+K114+K115+K110+K111</f>
        <v>22762.6</v>
      </c>
      <c r="L104" s="63">
        <f t="shared" si="35"/>
        <v>35278.400000000001</v>
      </c>
    </row>
    <row r="105" spans="1:12" s="43" customFormat="1" ht="90" x14ac:dyDescent="0.25">
      <c r="A105" s="41"/>
      <c r="B105" s="35"/>
      <c r="C105" s="35" t="s">
        <v>374</v>
      </c>
      <c r="D105" s="35" t="s">
        <v>375</v>
      </c>
      <c r="E105" s="42" t="s">
        <v>317</v>
      </c>
      <c r="F105" s="5" t="s">
        <v>203</v>
      </c>
      <c r="G105" s="27">
        <v>1219.23642</v>
      </c>
      <c r="H105" s="27">
        <v>914.29486999999995</v>
      </c>
      <c r="I105" s="27">
        <f>G105</f>
        <v>1219.23642</v>
      </c>
      <c r="J105" s="27">
        <v>601.5</v>
      </c>
      <c r="K105" s="27">
        <v>603.29999999999995</v>
      </c>
      <c r="L105" s="27">
        <v>603.29999999999995</v>
      </c>
    </row>
    <row r="106" spans="1:12" s="43" customFormat="1" ht="90" x14ac:dyDescent="0.25">
      <c r="A106" s="41"/>
      <c r="B106" s="35"/>
      <c r="C106" s="35" t="s">
        <v>376</v>
      </c>
      <c r="D106" s="35" t="s">
        <v>225</v>
      </c>
      <c r="E106" s="42" t="s">
        <v>317</v>
      </c>
      <c r="F106" s="5" t="s">
        <v>204</v>
      </c>
      <c r="G106" s="27">
        <v>195.13513</v>
      </c>
      <c r="H106" s="27">
        <v>195.13513</v>
      </c>
      <c r="I106" s="27">
        <f>H106</f>
        <v>195.13513</v>
      </c>
      <c r="J106" s="27">
        <v>0</v>
      </c>
      <c r="K106" s="27">
        <v>0</v>
      </c>
      <c r="L106" s="27">
        <v>0</v>
      </c>
    </row>
    <row r="107" spans="1:12" s="43" customFormat="1" ht="75" x14ac:dyDescent="0.25">
      <c r="A107" s="41"/>
      <c r="B107" s="35"/>
      <c r="C107" s="35" t="s">
        <v>377</v>
      </c>
      <c r="D107" s="35" t="s">
        <v>378</v>
      </c>
      <c r="E107" s="42" t="s">
        <v>318</v>
      </c>
      <c r="F107" s="5" t="s">
        <v>205</v>
      </c>
      <c r="G107" s="27">
        <v>3150.875</v>
      </c>
      <c r="H107" s="27">
        <v>0</v>
      </c>
      <c r="I107" s="27">
        <f>G107</f>
        <v>3150.875</v>
      </c>
      <c r="J107" s="27">
        <f>2266.9+1964.7</f>
        <v>4231.6000000000004</v>
      </c>
      <c r="K107" s="27">
        <f>2266.9+1904.3</f>
        <v>4171.2</v>
      </c>
      <c r="L107" s="27">
        <f>2266.9+1904.3</f>
        <v>4171.2</v>
      </c>
    </row>
    <row r="108" spans="1:12" s="43" customFormat="1" ht="90" x14ac:dyDescent="0.25">
      <c r="A108" s="41"/>
      <c r="B108" s="35"/>
      <c r="C108" s="35" t="s">
        <v>379</v>
      </c>
      <c r="D108" s="35" t="s">
        <v>254</v>
      </c>
      <c r="E108" s="42" t="s">
        <v>380</v>
      </c>
      <c r="F108" s="5" t="s">
        <v>206</v>
      </c>
      <c r="G108" s="27">
        <v>22647.24</v>
      </c>
      <c r="H108" s="27">
        <v>4950.16003</v>
      </c>
      <c r="I108" s="27">
        <f>G108</f>
        <v>22647.24</v>
      </c>
      <c r="J108" s="27">
        <v>0</v>
      </c>
      <c r="K108" s="27">
        <v>0</v>
      </c>
      <c r="L108" s="27">
        <v>0</v>
      </c>
    </row>
    <row r="109" spans="1:12" s="43" customFormat="1" ht="105" x14ac:dyDescent="0.25">
      <c r="A109" s="41"/>
      <c r="B109" s="35"/>
      <c r="C109" s="35" t="s">
        <v>381</v>
      </c>
      <c r="D109" s="35" t="s">
        <v>382</v>
      </c>
      <c r="E109" s="42" t="s">
        <v>380</v>
      </c>
      <c r="F109" s="5" t="s">
        <v>207</v>
      </c>
      <c r="G109" s="27">
        <v>10032.1</v>
      </c>
      <c r="H109" s="27">
        <v>8008.28</v>
      </c>
      <c r="I109" s="27">
        <f>G109</f>
        <v>10032.1</v>
      </c>
      <c r="J109" s="27">
        <v>0</v>
      </c>
      <c r="K109" s="27">
        <v>0</v>
      </c>
      <c r="L109" s="27">
        <v>0</v>
      </c>
    </row>
    <row r="110" spans="1:12" s="43" customFormat="1" ht="90" x14ac:dyDescent="0.25">
      <c r="A110" s="41"/>
      <c r="B110" s="35"/>
      <c r="C110" s="35" t="s">
        <v>494</v>
      </c>
      <c r="D110" s="35" t="s">
        <v>493</v>
      </c>
      <c r="E110" s="42" t="s">
        <v>380</v>
      </c>
      <c r="F110" s="5" t="s">
        <v>208</v>
      </c>
      <c r="G110" s="27">
        <v>0</v>
      </c>
      <c r="H110" s="27">
        <v>0</v>
      </c>
      <c r="I110" s="27">
        <v>0</v>
      </c>
      <c r="J110" s="27">
        <v>437</v>
      </c>
      <c r="K110" s="27">
        <v>0</v>
      </c>
      <c r="L110" s="27">
        <v>0</v>
      </c>
    </row>
    <row r="111" spans="1:12" s="43" customFormat="1" ht="59.25" customHeight="1" x14ac:dyDescent="0.25">
      <c r="A111" s="41"/>
      <c r="B111" s="35"/>
      <c r="C111" s="35" t="s">
        <v>495</v>
      </c>
      <c r="D111" s="35" t="s">
        <v>496</v>
      </c>
      <c r="E111" s="42" t="s">
        <v>380</v>
      </c>
      <c r="F111" s="5"/>
      <c r="G111" s="27">
        <v>0</v>
      </c>
      <c r="H111" s="27">
        <v>0</v>
      </c>
      <c r="I111" s="27">
        <v>0</v>
      </c>
      <c r="J111" s="27">
        <v>800</v>
      </c>
      <c r="K111" s="27">
        <v>0</v>
      </c>
      <c r="L111" s="27">
        <v>970</v>
      </c>
    </row>
    <row r="112" spans="1:12" s="43" customFormat="1" ht="90" x14ac:dyDescent="0.25">
      <c r="A112" s="41"/>
      <c r="B112" s="35"/>
      <c r="C112" s="35" t="s">
        <v>383</v>
      </c>
      <c r="D112" s="35" t="s">
        <v>384</v>
      </c>
      <c r="E112" s="42" t="s">
        <v>380</v>
      </c>
      <c r="F112" s="5" t="s">
        <v>208</v>
      </c>
      <c r="G112" s="27">
        <v>1138.4959799999999</v>
      </c>
      <c r="H112" s="27">
        <v>1138.4959799999999</v>
      </c>
      <c r="I112" s="27">
        <f>H112</f>
        <v>1138.4959799999999</v>
      </c>
      <c r="J112" s="27">
        <v>0</v>
      </c>
      <c r="K112" s="27">
        <v>0</v>
      </c>
      <c r="L112" s="27">
        <v>0</v>
      </c>
    </row>
    <row r="113" spans="1:12" s="43" customFormat="1" ht="44.25" customHeight="1" x14ac:dyDescent="0.25">
      <c r="A113" s="41"/>
      <c r="B113" s="35"/>
      <c r="C113" s="35" t="s">
        <v>383</v>
      </c>
      <c r="D113" s="35" t="s">
        <v>490</v>
      </c>
      <c r="E113" s="42" t="s">
        <v>380</v>
      </c>
      <c r="F113" s="5" t="s">
        <v>209</v>
      </c>
      <c r="G113" s="27">
        <v>0</v>
      </c>
      <c r="H113" s="27">
        <v>0</v>
      </c>
      <c r="I113" s="27">
        <v>0</v>
      </c>
      <c r="J113" s="27">
        <v>2509.3000000000002</v>
      </c>
      <c r="K113" s="27">
        <v>2333</v>
      </c>
      <c r="L113" s="27">
        <v>0</v>
      </c>
    </row>
    <row r="114" spans="1:12" s="43" customFormat="1" ht="90" x14ac:dyDescent="0.25">
      <c r="A114" s="41"/>
      <c r="B114" s="35"/>
      <c r="C114" s="35" t="s">
        <v>385</v>
      </c>
      <c r="D114" s="35" t="s">
        <v>386</v>
      </c>
      <c r="E114" s="42" t="s">
        <v>380</v>
      </c>
      <c r="F114" s="5" t="s">
        <v>210</v>
      </c>
      <c r="G114" s="27">
        <v>5329.0625</v>
      </c>
      <c r="H114" s="27">
        <v>5329.0625</v>
      </c>
      <c r="I114" s="27">
        <f>H114</f>
        <v>5329.0625</v>
      </c>
      <c r="J114" s="27">
        <v>5312.1</v>
      </c>
      <c r="K114" s="27">
        <v>4741.5</v>
      </c>
      <c r="L114" s="27">
        <v>4741.5</v>
      </c>
    </row>
    <row r="115" spans="1:12" s="55" customFormat="1" ht="15.75" x14ac:dyDescent="0.25">
      <c r="A115" s="52"/>
      <c r="B115" s="53" t="s">
        <v>492</v>
      </c>
      <c r="C115" s="53" t="s">
        <v>491</v>
      </c>
      <c r="D115" s="53" t="s">
        <v>492</v>
      </c>
      <c r="E115" s="54"/>
      <c r="F115" s="14"/>
      <c r="G115" s="72">
        <f>G118+G119+G120+G121+G123+G124+G125+G116+G117</f>
        <v>41691.152319999994</v>
      </c>
      <c r="H115" s="72">
        <f t="shared" ref="H115:I115" si="36">H118+H119+H120+H121+H123+H124+H125+H116+H117</f>
        <v>26589.409930000002</v>
      </c>
      <c r="I115" s="72">
        <f t="shared" si="36"/>
        <v>32854.084559999996</v>
      </c>
      <c r="J115" s="72">
        <f>J118+J119+J120+J121+J123+J124+J125+J116+J117+J122</f>
        <v>114221.5</v>
      </c>
      <c r="K115" s="72">
        <f t="shared" ref="K115:L115" si="37">K118+K119+K120+K121+K123+K124+K125+K116+K117+K122</f>
        <v>10913.6</v>
      </c>
      <c r="L115" s="72">
        <f t="shared" si="37"/>
        <v>24792.400000000001</v>
      </c>
    </row>
    <row r="116" spans="1:12" s="43" customFormat="1" ht="75" x14ac:dyDescent="0.25">
      <c r="A116" s="41"/>
      <c r="B116" s="35"/>
      <c r="C116" s="35" t="s">
        <v>263</v>
      </c>
      <c r="D116" s="37" t="s">
        <v>372</v>
      </c>
      <c r="E116" s="42" t="s">
        <v>371</v>
      </c>
      <c r="F116" s="5" t="s">
        <v>201</v>
      </c>
      <c r="G116" s="27">
        <v>4694.7</v>
      </c>
      <c r="H116" s="27">
        <v>3521.0250000000001</v>
      </c>
      <c r="I116" s="27">
        <f>G116</f>
        <v>4694.7</v>
      </c>
      <c r="J116" s="27">
        <v>9615.4</v>
      </c>
      <c r="K116" s="27">
        <v>844.6</v>
      </c>
      <c r="L116" s="27">
        <v>9975.7000000000007</v>
      </c>
    </row>
    <row r="117" spans="1:12" s="43" customFormat="1" ht="90" x14ac:dyDescent="0.25">
      <c r="A117" s="41"/>
      <c r="B117" s="35"/>
      <c r="C117" s="35" t="s">
        <v>263</v>
      </c>
      <c r="D117" s="37" t="s">
        <v>373</v>
      </c>
      <c r="E117" s="42" t="s">
        <v>371</v>
      </c>
      <c r="F117" s="5" t="s">
        <v>202</v>
      </c>
      <c r="G117" s="27">
        <v>367.22939000000002</v>
      </c>
      <c r="H117" s="27">
        <v>367.22939000000002</v>
      </c>
      <c r="I117" s="27">
        <f>H117</f>
        <v>367.22939000000002</v>
      </c>
      <c r="J117" s="27">
        <v>0</v>
      </c>
      <c r="K117" s="27">
        <v>0</v>
      </c>
      <c r="L117" s="27">
        <v>0</v>
      </c>
    </row>
    <row r="118" spans="1:12" s="43" customFormat="1" ht="90" x14ac:dyDescent="0.25">
      <c r="A118" s="41"/>
      <c r="B118" s="35"/>
      <c r="C118" s="35" t="s">
        <v>388</v>
      </c>
      <c r="D118" s="35" t="s">
        <v>387</v>
      </c>
      <c r="E118" s="42" t="s">
        <v>380</v>
      </c>
      <c r="F118" s="5" t="s">
        <v>211</v>
      </c>
      <c r="G118" s="27">
        <v>23.75</v>
      </c>
      <c r="H118" s="27">
        <v>0</v>
      </c>
      <c r="I118" s="27">
        <v>0</v>
      </c>
      <c r="J118" s="27">
        <v>0</v>
      </c>
      <c r="K118" s="27">
        <v>0</v>
      </c>
      <c r="L118" s="27">
        <v>0</v>
      </c>
    </row>
    <row r="119" spans="1:12" s="43" customFormat="1" ht="90" x14ac:dyDescent="0.25">
      <c r="A119" s="41"/>
      <c r="B119" s="35"/>
      <c r="C119" s="35" t="s">
        <v>388</v>
      </c>
      <c r="D119" s="35" t="s">
        <v>389</v>
      </c>
      <c r="E119" s="42" t="s">
        <v>380</v>
      </c>
      <c r="F119" s="5" t="s">
        <v>212</v>
      </c>
      <c r="G119" s="27">
        <v>2247.5734299999999</v>
      </c>
      <c r="H119" s="27">
        <v>2247.5734299999999</v>
      </c>
      <c r="I119" s="27">
        <f>H119</f>
        <v>2247.5734299999999</v>
      </c>
      <c r="J119" s="27">
        <v>0</v>
      </c>
      <c r="K119" s="27">
        <v>0</v>
      </c>
      <c r="L119" s="27">
        <v>0</v>
      </c>
    </row>
    <row r="120" spans="1:12" s="43" customFormat="1" ht="90" x14ac:dyDescent="0.25">
      <c r="A120" s="41"/>
      <c r="B120" s="35"/>
      <c r="C120" s="35" t="s">
        <v>388</v>
      </c>
      <c r="D120" s="35" t="s">
        <v>390</v>
      </c>
      <c r="E120" s="42" t="s">
        <v>380</v>
      </c>
      <c r="F120" s="5" t="s">
        <v>213</v>
      </c>
      <c r="G120" s="27">
        <v>17063.599999999999</v>
      </c>
      <c r="H120" s="27">
        <v>12976.50433</v>
      </c>
      <c r="I120" s="27">
        <f>G120</f>
        <v>17063.599999999999</v>
      </c>
      <c r="J120" s="27">
        <v>2377.8000000000002</v>
      </c>
      <c r="K120" s="27">
        <v>7365.4</v>
      </c>
      <c r="L120" s="27">
        <v>5793.1</v>
      </c>
    </row>
    <row r="121" spans="1:12" s="43" customFormat="1" ht="90" x14ac:dyDescent="0.25">
      <c r="A121" s="41"/>
      <c r="B121" s="35"/>
      <c r="C121" s="35" t="s">
        <v>388</v>
      </c>
      <c r="D121" s="35" t="s">
        <v>392</v>
      </c>
      <c r="E121" s="42" t="s">
        <v>380</v>
      </c>
      <c r="F121" s="5" t="s">
        <v>213</v>
      </c>
      <c r="G121" s="27">
        <v>311.76396</v>
      </c>
      <c r="H121" s="27">
        <v>0</v>
      </c>
      <c r="I121" s="27">
        <f>G121</f>
        <v>311.76396</v>
      </c>
      <c r="J121" s="27">
        <v>0</v>
      </c>
      <c r="K121" s="27">
        <v>0</v>
      </c>
      <c r="L121" s="27">
        <v>0</v>
      </c>
    </row>
    <row r="122" spans="1:12" s="43" customFormat="1" ht="90" x14ac:dyDescent="0.25">
      <c r="A122" s="41"/>
      <c r="B122" s="35"/>
      <c r="C122" s="35" t="s">
        <v>388</v>
      </c>
      <c r="D122" s="35" t="s">
        <v>497</v>
      </c>
      <c r="E122" s="42" t="s">
        <v>380</v>
      </c>
      <c r="F122" s="5"/>
      <c r="G122" s="27">
        <v>0</v>
      </c>
      <c r="H122" s="27">
        <v>0</v>
      </c>
      <c r="I122" s="27">
        <v>0</v>
      </c>
      <c r="J122" s="27">
        <v>100324.7</v>
      </c>
      <c r="K122" s="27">
        <v>800</v>
      </c>
      <c r="L122" s="27">
        <v>7120</v>
      </c>
    </row>
    <row r="123" spans="1:12" s="43" customFormat="1" ht="60" x14ac:dyDescent="0.25">
      <c r="A123" s="41"/>
      <c r="B123" s="35"/>
      <c r="C123" s="35" t="s">
        <v>391</v>
      </c>
      <c r="D123" s="35" t="s">
        <v>226</v>
      </c>
      <c r="E123" s="42" t="s">
        <v>313</v>
      </c>
      <c r="F123" s="5" t="s">
        <v>214</v>
      </c>
      <c r="G123" s="27">
        <v>14846.73554</v>
      </c>
      <c r="H123" s="27">
        <v>6033.4177799999998</v>
      </c>
      <c r="I123" s="27">
        <v>6033.4177799999998</v>
      </c>
      <c r="J123" s="27">
        <v>0</v>
      </c>
      <c r="K123" s="27">
        <v>0</v>
      </c>
      <c r="L123" s="27">
        <v>0</v>
      </c>
    </row>
    <row r="124" spans="1:12" s="43" customFormat="1" ht="60" x14ac:dyDescent="0.25">
      <c r="A124" s="41"/>
      <c r="B124" s="35"/>
      <c r="C124" s="35" t="s">
        <v>391</v>
      </c>
      <c r="D124" s="35" t="s">
        <v>393</v>
      </c>
      <c r="E124" s="42" t="s">
        <v>313</v>
      </c>
      <c r="F124" s="5" t="s">
        <v>215</v>
      </c>
      <c r="G124" s="27">
        <v>1661.2</v>
      </c>
      <c r="H124" s="27">
        <v>1245.9000000000001</v>
      </c>
      <c r="I124" s="27">
        <f>G124</f>
        <v>1661.2</v>
      </c>
      <c r="J124" s="27">
        <v>1558</v>
      </c>
      <c r="K124" s="27">
        <v>1558</v>
      </c>
      <c r="L124" s="27">
        <v>1558</v>
      </c>
    </row>
    <row r="125" spans="1:12" s="43" customFormat="1" ht="60" x14ac:dyDescent="0.25">
      <c r="A125" s="41"/>
      <c r="B125" s="35"/>
      <c r="C125" s="35" t="s">
        <v>391</v>
      </c>
      <c r="D125" s="35" t="s">
        <v>394</v>
      </c>
      <c r="E125" s="42" t="s">
        <v>313</v>
      </c>
      <c r="F125" s="5" t="s">
        <v>216</v>
      </c>
      <c r="G125" s="27">
        <v>474.6</v>
      </c>
      <c r="H125" s="27">
        <v>197.76</v>
      </c>
      <c r="I125" s="27">
        <f>G125</f>
        <v>474.6</v>
      </c>
      <c r="J125" s="27">
        <v>345.6</v>
      </c>
      <c r="K125" s="27">
        <v>345.6</v>
      </c>
      <c r="L125" s="27">
        <v>345.6</v>
      </c>
    </row>
    <row r="126" spans="1:12" s="47" customFormat="1" ht="29.25" x14ac:dyDescent="0.25">
      <c r="A126" s="44"/>
      <c r="B126" s="45" t="s">
        <v>227</v>
      </c>
      <c r="C126" s="45" t="s">
        <v>264</v>
      </c>
      <c r="D126" s="45" t="s">
        <v>227</v>
      </c>
      <c r="E126" s="46"/>
      <c r="F126" s="5" t="s">
        <v>217</v>
      </c>
      <c r="G126" s="71">
        <f>SUM(G127:G165)-G127-G152-G157</f>
        <v>281893.25793000002</v>
      </c>
      <c r="H126" s="71">
        <f t="shared" ref="H126:K126" si="38">SUM(H127:H165)-H127-H152-H157</f>
        <v>186528.46384000007</v>
      </c>
      <c r="I126" s="71">
        <f t="shared" si="38"/>
        <v>281893.25793000002</v>
      </c>
      <c r="J126" s="71">
        <f>SUM(J127:J165)-J127-J152-J157</f>
        <v>288760.90000000031</v>
      </c>
      <c r="K126" s="71">
        <f t="shared" si="38"/>
        <v>281977.00000000017</v>
      </c>
      <c r="L126" s="71">
        <f>SUM(L127:L165)-L127-L152-L157</f>
        <v>283132.20000000019</v>
      </c>
    </row>
    <row r="127" spans="1:12" s="55" customFormat="1" ht="45" x14ac:dyDescent="0.25">
      <c r="A127" s="52"/>
      <c r="B127" s="53"/>
      <c r="C127" s="53" t="s">
        <v>415</v>
      </c>
      <c r="D127" s="53" t="s">
        <v>418</v>
      </c>
      <c r="E127" s="54"/>
      <c r="F127" s="5" t="s">
        <v>218</v>
      </c>
      <c r="G127" s="72">
        <f t="shared" ref="G127:I127" si="39">G128+G164+G129+G130+G131+G132+G133+G134+G135+G136+G137+G138+G139+G140+G141+G142+G143+G144+G147+G149+G150+G151+G148+G145</f>
        <v>251287.23961999998</v>
      </c>
      <c r="H127" s="72">
        <f t="shared" si="39"/>
        <v>176057.81129999997</v>
      </c>
      <c r="I127" s="72">
        <f t="shared" si="39"/>
        <v>251287.23961999998</v>
      </c>
      <c r="J127" s="72">
        <f>J128+J129+J130+J131+J132+J133+J134+J135+J136+J137+J138+J139+J140+J141+J142+J143+J144+J145+J146+J147+J148+J149+J150+J151</f>
        <v>265715.40000000014</v>
      </c>
      <c r="K127" s="72">
        <f t="shared" ref="K127:L127" si="40">K128+K129+K130+K131+K132+K133+K134+K135+K136+K137+K138+K139+K140+K141+K142+K143+K144+K145+K146+K147+K148+K149+K150+K151</f>
        <v>257922.19999999998</v>
      </c>
      <c r="L127" s="72">
        <f t="shared" si="40"/>
        <v>260266.8</v>
      </c>
    </row>
    <row r="128" spans="1:12" s="43" customFormat="1" ht="75" x14ac:dyDescent="0.25">
      <c r="A128" s="41"/>
      <c r="B128" s="35"/>
      <c r="C128" s="35" t="s">
        <v>265</v>
      </c>
      <c r="D128" s="35" t="s">
        <v>228</v>
      </c>
      <c r="E128" s="42" t="s">
        <v>371</v>
      </c>
      <c r="F128" s="5" t="s">
        <v>219</v>
      </c>
      <c r="G128" s="73">
        <v>48528.4</v>
      </c>
      <c r="H128" s="73">
        <v>39276.485000000001</v>
      </c>
      <c r="I128" s="73">
        <f>G128</f>
        <v>48528.4</v>
      </c>
      <c r="J128" s="81">
        <v>44158.8</v>
      </c>
      <c r="K128" s="81">
        <v>36563.199999999997</v>
      </c>
      <c r="L128" s="81">
        <v>38915</v>
      </c>
    </row>
    <row r="129" spans="1:12" s="43" customFormat="1" ht="75" x14ac:dyDescent="0.25">
      <c r="A129" s="41"/>
      <c r="B129" s="35"/>
      <c r="C129" s="35" t="s">
        <v>267</v>
      </c>
      <c r="D129" s="35" t="s">
        <v>396</v>
      </c>
      <c r="E129" s="42" t="s">
        <v>318</v>
      </c>
      <c r="F129" s="5" t="s">
        <v>220</v>
      </c>
      <c r="G129" s="73">
        <v>54363.9</v>
      </c>
      <c r="H129" s="73">
        <v>36695.6325</v>
      </c>
      <c r="I129" s="73">
        <f t="shared" ref="I129:I151" si="41">G129</f>
        <v>54363.9</v>
      </c>
      <c r="J129" s="81">
        <v>52738.9</v>
      </c>
      <c r="K129" s="81">
        <v>52738.9</v>
      </c>
      <c r="L129" s="81">
        <v>52738.9</v>
      </c>
    </row>
    <row r="130" spans="1:12" s="43" customFormat="1" ht="135" x14ac:dyDescent="0.25">
      <c r="A130" s="41"/>
      <c r="B130" s="35"/>
      <c r="C130" s="35" t="s">
        <v>267</v>
      </c>
      <c r="D130" s="35" t="s">
        <v>397</v>
      </c>
      <c r="E130" s="42" t="s">
        <v>318</v>
      </c>
      <c r="F130" s="5" t="s">
        <v>221</v>
      </c>
      <c r="G130" s="73">
        <v>675.7</v>
      </c>
      <c r="H130" s="73">
        <v>481.43624999999997</v>
      </c>
      <c r="I130" s="73">
        <f t="shared" si="41"/>
        <v>675.7</v>
      </c>
      <c r="J130" s="81">
        <v>644.29999999999995</v>
      </c>
      <c r="K130" s="81">
        <v>644.29999999999995</v>
      </c>
      <c r="L130" s="81">
        <v>644.29999999999995</v>
      </c>
    </row>
    <row r="131" spans="1:12" s="43" customFormat="1" ht="75" x14ac:dyDescent="0.25">
      <c r="A131" s="41"/>
      <c r="B131" s="35"/>
      <c r="C131" s="35" t="s">
        <v>267</v>
      </c>
      <c r="D131" s="35" t="s">
        <v>398</v>
      </c>
      <c r="E131" s="42" t="s">
        <v>318</v>
      </c>
      <c r="F131" s="5" t="s">
        <v>222</v>
      </c>
      <c r="G131" s="73">
        <v>468.7</v>
      </c>
      <c r="H131" s="73">
        <v>333.94875000000002</v>
      </c>
      <c r="I131" s="73">
        <f t="shared" si="41"/>
        <v>468.7</v>
      </c>
      <c r="J131" s="81">
        <v>465.4</v>
      </c>
      <c r="K131" s="81">
        <v>465.4</v>
      </c>
      <c r="L131" s="81">
        <v>465.4</v>
      </c>
    </row>
    <row r="132" spans="1:12" s="43" customFormat="1" ht="75" x14ac:dyDescent="0.25">
      <c r="A132" s="41"/>
      <c r="B132" s="35"/>
      <c r="C132" s="35" t="s">
        <v>267</v>
      </c>
      <c r="D132" s="35" t="s">
        <v>399</v>
      </c>
      <c r="E132" s="42" t="s">
        <v>318</v>
      </c>
      <c r="F132" s="5" t="s">
        <v>223</v>
      </c>
      <c r="G132" s="73">
        <v>134579.79999999999</v>
      </c>
      <c r="H132" s="73">
        <v>90841.365000000005</v>
      </c>
      <c r="I132" s="73">
        <f t="shared" si="41"/>
        <v>134579.79999999999</v>
      </c>
      <c r="J132" s="81">
        <v>152859.79999999999</v>
      </c>
      <c r="K132" s="81">
        <v>152859.79999999999</v>
      </c>
      <c r="L132" s="81">
        <v>152859.79999999999</v>
      </c>
    </row>
    <row r="133" spans="1:12" s="43" customFormat="1" ht="165" x14ac:dyDescent="0.25">
      <c r="A133" s="41"/>
      <c r="B133" s="35"/>
      <c r="C133" s="35" t="s">
        <v>267</v>
      </c>
      <c r="D133" s="35" t="s">
        <v>400</v>
      </c>
      <c r="E133" s="42" t="s">
        <v>318</v>
      </c>
      <c r="F133" s="5" t="s">
        <v>233</v>
      </c>
      <c r="G133" s="73">
        <v>445</v>
      </c>
      <c r="H133" s="73">
        <v>82.65</v>
      </c>
      <c r="I133" s="73">
        <f t="shared" si="41"/>
        <v>445</v>
      </c>
      <c r="J133" s="82">
        <v>400.5</v>
      </c>
      <c r="K133" s="82">
        <v>400.5</v>
      </c>
      <c r="L133" s="82">
        <v>400.5</v>
      </c>
    </row>
    <row r="134" spans="1:12" s="43" customFormat="1" ht="75" x14ac:dyDescent="0.25">
      <c r="A134" s="41"/>
      <c r="B134" s="35"/>
      <c r="C134" s="35" t="s">
        <v>267</v>
      </c>
      <c r="D134" s="35" t="s">
        <v>401</v>
      </c>
      <c r="E134" s="42" t="s">
        <v>318</v>
      </c>
      <c r="F134" s="5" t="s">
        <v>249</v>
      </c>
      <c r="G134" s="73">
        <v>580.20000000000005</v>
      </c>
      <c r="H134" s="73">
        <v>413.39249999999998</v>
      </c>
      <c r="I134" s="73">
        <f t="shared" si="41"/>
        <v>580.20000000000005</v>
      </c>
      <c r="J134" s="82">
        <v>841.2</v>
      </c>
      <c r="K134" s="82">
        <v>841.2</v>
      </c>
      <c r="L134" s="82">
        <v>841.2</v>
      </c>
    </row>
    <row r="135" spans="1:12" s="43" customFormat="1" ht="75" x14ac:dyDescent="0.25">
      <c r="A135" s="41"/>
      <c r="B135" s="35"/>
      <c r="C135" s="35" t="s">
        <v>267</v>
      </c>
      <c r="D135" s="35" t="s">
        <v>402</v>
      </c>
      <c r="E135" s="42" t="s">
        <v>318</v>
      </c>
      <c r="F135" s="5" t="s">
        <v>250</v>
      </c>
      <c r="G135" s="73">
        <v>3558.5</v>
      </c>
      <c r="H135" s="73">
        <v>2535.4312500000001</v>
      </c>
      <c r="I135" s="73">
        <f t="shared" si="41"/>
        <v>3558.5</v>
      </c>
      <c r="J135" s="82">
        <v>2743.3</v>
      </c>
      <c r="K135" s="82">
        <v>2743.3</v>
      </c>
      <c r="L135" s="82">
        <v>2743.3</v>
      </c>
    </row>
    <row r="136" spans="1:12" s="43" customFormat="1" ht="105" x14ac:dyDescent="0.25">
      <c r="A136" s="41"/>
      <c r="B136" s="35"/>
      <c r="C136" s="35" t="s">
        <v>267</v>
      </c>
      <c r="D136" s="35" t="s">
        <v>403</v>
      </c>
      <c r="E136" s="42" t="s">
        <v>318</v>
      </c>
      <c r="F136" s="5" t="s">
        <v>251</v>
      </c>
      <c r="G136" s="73">
        <v>608.20000000000005</v>
      </c>
      <c r="H136" s="73">
        <v>433.34249999999997</v>
      </c>
      <c r="I136" s="73">
        <f t="shared" si="41"/>
        <v>608.20000000000005</v>
      </c>
      <c r="J136" s="82">
        <v>608.20000000000005</v>
      </c>
      <c r="K136" s="82">
        <v>608.20000000000005</v>
      </c>
      <c r="L136" s="82">
        <v>608.20000000000005</v>
      </c>
    </row>
    <row r="137" spans="1:12" s="43" customFormat="1" ht="75" x14ac:dyDescent="0.25">
      <c r="A137" s="41"/>
      <c r="B137" s="35"/>
      <c r="C137" s="35" t="s">
        <v>269</v>
      </c>
      <c r="D137" s="35" t="s">
        <v>407</v>
      </c>
      <c r="E137" s="42" t="s">
        <v>408</v>
      </c>
      <c r="F137" s="5" t="s">
        <v>252</v>
      </c>
      <c r="G137" s="73">
        <v>489.67500000000001</v>
      </c>
      <c r="H137" s="73">
        <v>67.5</v>
      </c>
      <c r="I137" s="73">
        <f t="shared" si="41"/>
        <v>489.67500000000001</v>
      </c>
      <c r="J137" s="82">
        <v>0</v>
      </c>
      <c r="K137" s="82">
        <v>0</v>
      </c>
      <c r="L137" s="82">
        <v>0</v>
      </c>
    </row>
    <row r="138" spans="1:12" s="43" customFormat="1" ht="75" x14ac:dyDescent="0.25">
      <c r="A138" s="41"/>
      <c r="B138" s="35"/>
      <c r="C138" s="35" t="s">
        <v>269</v>
      </c>
      <c r="D138" s="35" t="s">
        <v>409</v>
      </c>
      <c r="E138" s="42" t="s">
        <v>408</v>
      </c>
      <c r="F138" s="5" t="s">
        <v>253</v>
      </c>
      <c r="G138" s="73">
        <v>3257</v>
      </c>
      <c r="H138" s="73">
        <v>2340.9690000000001</v>
      </c>
      <c r="I138" s="73">
        <f t="shared" si="41"/>
        <v>3257</v>
      </c>
      <c r="J138" s="82">
        <v>3214.8</v>
      </c>
      <c r="K138" s="82">
        <v>3214.8</v>
      </c>
      <c r="L138" s="82">
        <v>3214.8</v>
      </c>
    </row>
    <row r="139" spans="1:12" s="43" customFormat="1" ht="75" x14ac:dyDescent="0.25">
      <c r="A139" s="41"/>
      <c r="B139" s="35"/>
      <c r="C139" s="35" t="s">
        <v>269</v>
      </c>
      <c r="D139" s="35" t="s">
        <v>412</v>
      </c>
      <c r="E139" s="42" t="s">
        <v>408</v>
      </c>
      <c r="F139" s="5" t="s">
        <v>255</v>
      </c>
      <c r="G139" s="73">
        <v>364.84753999999998</v>
      </c>
      <c r="H139" s="73">
        <v>364.84753999999998</v>
      </c>
      <c r="I139" s="73">
        <f t="shared" si="41"/>
        <v>364.84753999999998</v>
      </c>
      <c r="J139" s="73">
        <v>461.8</v>
      </c>
      <c r="K139" s="73">
        <v>299.2</v>
      </c>
      <c r="L139" s="73">
        <v>299.2</v>
      </c>
    </row>
    <row r="140" spans="1:12" s="43" customFormat="1" ht="75" x14ac:dyDescent="0.25">
      <c r="A140" s="41"/>
      <c r="B140" s="35"/>
      <c r="C140" s="35" t="s">
        <v>269</v>
      </c>
      <c r="D140" s="35" t="s">
        <v>411</v>
      </c>
      <c r="E140" s="42" t="s">
        <v>408</v>
      </c>
      <c r="F140" s="5" t="s">
        <v>256</v>
      </c>
      <c r="G140" s="73">
        <v>66.3</v>
      </c>
      <c r="H140" s="73">
        <v>66.3</v>
      </c>
      <c r="I140" s="73">
        <f t="shared" si="41"/>
        <v>66.3</v>
      </c>
      <c r="J140" s="73">
        <v>395.3</v>
      </c>
      <c r="K140" s="73">
        <v>403.9</v>
      </c>
      <c r="L140" s="73">
        <v>403.9</v>
      </c>
    </row>
    <row r="141" spans="1:12" s="43" customFormat="1" ht="75" x14ac:dyDescent="0.25">
      <c r="A141" s="41"/>
      <c r="B141" s="35"/>
      <c r="C141" s="35" t="s">
        <v>269</v>
      </c>
      <c r="D141" s="35" t="s">
        <v>410</v>
      </c>
      <c r="E141" s="42" t="s">
        <v>408</v>
      </c>
      <c r="F141" s="5" t="s">
        <v>257</v>
      </c>
      <c r="G141" s="73">
        <v>4.4950700000000001</v>
      </c>
      <c r="H141" s="73">
        <v>2.50692</v>
      </c>
      <c r="I141" s="73">
        <f t="shared" si="41"/>
        <v>4.4950700000000001</v>
      </c>
      <c r="J141" s="73">
        <v>2.6</v>
      </c>
      <c r="K141" s="73">
        <v>0</v>
      </c>
      <c r="L141" s="73">
        <v>0</v>
      </c>
    </row>
    <row r="142" spans="1:12" s="43" customFormat="1" ht="120" x14ac:dyDescent="0.25">
      <c r="A142" s="41"/>
      <c r="B142" s="35"/>
      <c r="C142" s="35" t="s">
        <v>269</v>
      </c>
      <c r="D142" s="35" t="s">
        <v>413</v>
      </c>
      <c r="E142" s="42" t="s">
        <v>408</v>
      </c>
      <c r="F142" s="5" t="s">
        <v>285</v>
      </c>
      <c r="G142" s="73">
        <v>256.89999999999998</v>
      </c>
      <c r="H142" s="73">
        <v>0</v>
      </c>
      <c r="I142" s="73">
        <f t="shared" si="41"/>
        <v>256.89999999999998</v>
      </c>
      <c r="J142" s="73">
        <v>175</v>
      </c>
      <c r="K142" s="73">
        <v>175</v>
      </c>
      <c r="L142" s="73">
        <v>175</v>
      </c>
    </row>
    <row r="143" spans="1:12" s="43" customFormat="1" ht="75" x14ac:dyDescent="0.25">
      <c r="A143" s="41"/>
      <c r="B143" s="35"/>
      <c r="C143" s="35" t="s">
        <v>269</v>
      </c>
      <c r="D143" s="35" t="s">
        <v>420</v>
      </c>
      <c r="E143" s="42" t="s">
        <v>408</v>
      </c>
      <c r="F143" s="5" t="s">
        <v>286</v>
      </c>
      <c r="G143" s="73">
        <v>196.488</v>
      </c>
      <c r="H143" s="73">
        <v>196.488</v>
      </c>
      <c r="I143" s="73">
        <f t="shared" si="41"/>
        <v>196.488</v>
      </c>
      <c r="J143" s="73">
        <v>0</v>
      </c>
      <c r="K143" s="73">
        <v>0</v>
      </c>
      <c r="L143" s="73">
        <v>0</v>
      </c>
    </row>
    <row r="144" spans="1:12" s="43" customFormat="1" ht="75" x14ac:dyDescent="0.25">
      <c r="A144" s="41"/>
      <c r="B144" s="35"/>
      <c r="C144" s="35" t="s">
        <v>269</v>
      </c>
      <c r="D144" s="35" t="s">
        <v>414</v>
      </c>
      <c r="E144" s="42" t="s">
        <v>408</v>
      </c>
      <c r="F144" s="5" t="s">
        <v>287</v>
      </c>
      <c r="G144" s="73">
        <v>789.13400999999999</v>
      </c>
      <c r="H144" s="73">
        <v>453.76609000000002</v>
      </c>
      <c r="I144" s="73">
        <f t="shared" si="41"/>
        <v>789.13400999999999</v>
      </c>
      <c r="J144" s="73">
        <v>1901.6</v>
      </c>
      <c r="K144" s="73">
        <v>1935.5</v>
      </c>
      <c r="L144" s="73">
        <v>1935.5</v>
      </c>
    </row>
    <row r="145" spans="1:15" s="43" customFormat="1" ht="75" x14ac:dyDescent="0.25">
      <c r="A145" s="41"/>
      <c r="B145" s="35"/>
      <c r="C145" s="35" t="s">
        <v>269</v>
      </c>
      <c r="D145" s="35" t="s">
        <v>416</v>
      </c>
      <c r="E145" s="42" t="s">
        <v>408</v>
      </c>
      <c r="F145" s="5" t="s">
        <v>288</v>
      </c>
      <c r="G145" s="73">
        <v>0</v>
      </c>
      <c r="H145" s="73">
        <v>0</v>
      </c>
      <c r="I145" s="73">
        <f t="shared" si="41"/>
        <v>0</v>
      </c>
      <c r="J145" s="73">
        <v>858.9</v>
      </c>
      <c r="K145" s="73">
        <v>891.9</v>
      </c>
      <c r="L145" s="73">
        <v>884.7</v>
      </c>
    </row>
    <row r="146" spans="1:15" s="43" customFormat="1" ht="75" x14ac:dyDescent="0.25">
      <c r="A146" s="41"/>
      <c r="B146" s="35"/>
      <c r="C146" s="35" t="s">
        <v>501</v>
      </c>
      <c r="D146" s="35" t="s">
        <v>502</v>
      </c>
      <c r="E146" s="42" t="s">
        <v>408</v>
      </c>
      <c r="F146" s="5" t="s">
        <v>289</v>
      </c>
      <c r="G146" s="73">
        <v>0</v>
      </c>
      <c r="H146" s="73">
        <v>0</v>
      </c>
      <c r="I146" s="73">
        <f t="shared" si="41"/>
        <v>0</v>
      </c>
      <c r="J146" s="73">
        <v>2224.4</v>
      </c>
      <c r="K146" s="73">
        <v>2224.4</v>
      </c>
      <c r="L146" s="73">
        <v>2224.4</v>
      </c>
    </row>
    <row r="147" spans="1:15" s="43" customFormat="1" ht="90" x14ac:dyDescent="0.25">
      <c r="A147" s="41"/>
      <c r="B147" s="35"/>
      <c r="C147" s="35" t="s">
        <v>425</v>
      </c>
      <c r="D147" s="35" t="s">
        <v>426</v>
      </c>
      <c r="E147" s="42" t="s">
        <v>380</v>
      </c>
      <c r="F147" s="5" t="s">
        <v>291</v>
      </c>
      <c r="G147" s="73">
        <v>49.9</v>
      </c>
      <c r="H147" s="73">
        <v>0</v>
      </c>
      <c r="I147" s="73">
        <f t="shared" si="41"/>
        <v>49.9</v>
      </c>
      <c r="J147" s="73">
        <v>44.9</v>
      </c>
      <c r="K147" s="73">
        <v>44.9</v>
      </c>
      <c r="L147" s="73">
        <v>44.9</v>
      </c>
      <c r="O147" s="83">
        <f>O9-L9</f>
        <v>-1324.0000000001164</v>
      </c>
    </row>
    <row r="148" spans="1:15" s="43" customFormat="1" ht="150" x14ac:dyDescent="0.25">
      <c r="A148" s="41"/>
      <c r="B148" s="35"/>
      <c r="C148" s="35" t="s">
        <v>425</v>
      </c>
      <c r="D148" s="35" t="s">
        <v>498</v>
      </c>
      <c r="E148" s="42" t="s">
        <v>380</v>
      </c>
      <c r="F148" s="5" t="s">
        <v>292</v>
      </c>
      <c r="G148" s="73">
        <v>0</v>
      </c>
      <c r="H148" s="73">
        <v>0</v>
      </c>
      <c r="I148" s="73">
        <f t="shared" si="41"/>
        <v>0</v>
      </c>
      <c r="J148" s="73">
        <v>107.9</v>
      </c>
      <c r="K148" s="73">
        <v>0</v>
      </c>
      <c r="L148" s="73">
        <v>0</v>
      </c>
    </row>
    <row r="149" spans="1:15" s="43" customFormat="1" ht="60" x14ac:dyDescent="0.25">
      <c r="A149" s="41"/>
      <c r="B149" s="35"/>
      <c r="C149" s="35" t="s">
        <v>434</v>
      </c>
      <c r="D149" s="35" t="s">
        <v>437</v>
      </c>
      <c r="E149" s="42" t="s">
        <v>313</v>
      </c>
      <c r="F149" s="5" t="s">
        <v>293</v>
      </c>
      <c r="G149" s="73">
        <v>473.5</v>
      </c>
      <c r="H149" s="73">
        <v>355.125</v>
      </c>
      <c r="I149" s="73">
        <f t="shared" si="41"/>
        <v>473.5</v>
      </c>
      <c r="J149" s="73">
        <v>469.7</v>
      </c>
      <c r="K149" s="73">
        <v>469.7</v>
      </c>
      <c r="L149" s="73">
        <v>469.7</v>
      </c>
    </row>
    <row r="150" spans="1:15" s="43" customFormat="1" ht="60" x14ac:dyDescent="0.25">
      <c r="A150" s="41"/>
      <c r="B150" s="35"/>
      <c r="C150" s="35" t="s">
        <v>434</v>
      </c>
      <c r="D150" s="35" t="s">
        <v>435</v>
      </c>
      <c r="E150" s="42" t="s">
        <v>313</v>
      </c>
      <c r="F150" s="5" t="s">
        <v>294</v>
      </c>
      <c r="G150" s="73">
        <v>397.9</v>
      </c>
      <c r="H150" s="73">
        <v>298.42500000000001</v>
      </c>
      <c r="I150" s="73">
        <f t="shared" si="41"/>
        <v>397.9</v>
      </c>
      <c r="J150" s="73">
        <v>394.2</v>
      </c>
      <c r="K150" s="73">
        <v>394.2</v>
      </c>
      <c r="L150" s="73">
        <v>394.2</v>
      </c>
    </row>
    <row r="151" spans="1:15" s="43" customFormat="1" ht="90" x14ac:dyDescent="0.25">
      <c r="A151" s="41"/>
      <c r="B151" s="35"/>
      <c r="C151" s="35" t="s">
        <v>434</v>
      </c>
      <c r="D151" s="35" t="s">
        <v>436</v>
      </c>
      <c r="E151" s="42" t="s">
        <v>313</v>
      </c>
      <c r="F151" s="5" t="s">
        <v>295</v>
      </c>
      <c r="G151" s="73">
        <v>4.3</v>
      </c>
      <c r="H151" s="73">
        <v>4.3</v>
      </c>
      <c r="I151" s="73">
        <f t="shared" si="41"/>
        <v>4.3</v>
      </c>
      <c r="J151" s="73">
        <v>3.9</v>
      </c>
      <c r="K151" s="73">
        <v>3.9</v>
      </c>
      <c r="L151" s="73">
        <v>3.9</v>
      </c>
    </row>
    <row r="152" spans="1:15" s="55" customFormat="1" ht="75" x14ac:dyDescent="0.25">
      <c r="A152" s="52"/>
      <c r="B152" s="53"/>
      <c r="C152" s="53" t="s">
        <v>417</v>
      </c>
      <c r="D152" s="53" t="s">
        <v>416</v>
      </c>
      <c r="E152" s="54"/>
      <c r="F152" s="5" t="s">
        <v>427</v>
      </c>
      <c r="G152" s="74">
        <f>G153+G154+G155</f>
        <v>206.08546999999999</v>
      </c>
      <c r="H152" s="74">
        <f t="shared" ref="H152:I152" si="42">H153+H154+H155</f>
        <v>27.52045</v>
      </c>
      <c r="I152" s="74">
        <f t="shared" si="42"/>
        <v>206.08546999999999</v>
      </c>
      <c r="J152" s="74">
        <f>J153+J154+J155+J156</f>
        <v>732.8</v>
      </c>
      <c r="K152" s="74">
        <f t="shared" ref="K152:L152" si="43">K153+K154+K155+K156</f>
        <v>684.9</v>
      </c>
      <c r="L152" s="74">
        <f t="shared" si="43"/>
        <v>702.90000000000009</v>
      </c>
    </row>
    <row r="153" spans="1:15" s="43" customFormat="1" ht="75" x14ac:dyDescent="0.25">
      <c r="A153" s="41"/>
      <c r="B153" s="35"/>
      <c r="C153" s="35" t="s">
        <v>419</v>
      </c>
      <c r="D153" s="35" t="s">
        <v>410</v>
      </c>
      <c r="E153" s="42" t="s">
        <v>408</v>
      </c>
      <c r="F153" s="5" t="s">
        <v>428</v>
      </c>
      <c r="G153" s="73">
        <v>51.596029999999999</v>
      </c>
      <c r="H153" s="73">
        <v>21.40408</v>
      </c>
      <c r="I153" s="73">
        <f>G153</f>
        <v>51.596029999999999</v>
      </c>
      <c r="J153" s="73">
        <f>18.1+6.4</f>
        <v>24.5</v>
      </c>
      <c r="K153" s="73">
        <v>0</v>
      </c>
      <c r="L153" s="73">
        <v>0</v>
      </c>
    </row>
    <row r="154" spans="1:15" s="43" customFormat="1" ht="75" x14ac:dyDescent="0.25">
      <c r="A154" s="41"/>
      <c r="B154" s="35"/>
      <c r="C154" s="35" t="s">
        <v>419</v>
      </c>
      <c r="D154" s="35" t="s">
        <v>407</v>
      </c>
      <c r="E154" s="42" t="s">
        <v>408</v>
      </c>
      <c r="F154" s="5" t="s">
        <v>429</v>
      </c>
      <c r="G154" s="73">
        <v>114.32281</v>
      </c>
      <c r="H154" s="73">
        <v>6.1163699999999999</v>
      </c>
      <c r="I154" s="73">
        <f>G154</f>
        <v>114.32281</v>
      </c>
      <c r="J154" s="27">
        <v>0</v>
      </c>
      <c r="K154" s="27">
        <v>0</v>
      </c>
      <c r="L154" s="27">
        <v>0</v>
      </c>
    </row>
    <row r="155" spans="1:15" s="43" customFormat="1" ht="75" x14ac:dyDescent="0.25">
      <c r="A155" s="41"/>
      <c r="B155" s="35"/>
      <c r="C155" s="35" t="s">
        <v>419</v>
      </c>
      <c r="D155" s="35" t="s">
        <v>420</v>
      </c>
      <c r="E155" s="42" t="s">
        <v>408</v>
      </c>
      <c r="F155" s="5" t="s">
        <v>430</v>
      </c>
      <c r="G155" s="27">
        <v>40.166629999999998</v>
      </c>
      <c r="H155" s="27">
        <v>0</v>
      </c>
      <c r="I155" s="73">
        <f>G155</f>
        <v>40.166629999999998</v>
      </c>
      <c r="J155" s="73">
        <v>0</v>
      </c>
      <c r="K155" s="73">
        <v>0</v>
      </c>
      <c r="L155" s="73">
        <v>0</v>
      </c>
    </row>
    <row r="156" spans="1:15" s="43" customFormat="1" ht="75" x14ac:dyDescent="0.25">
      <c r="A156" s="41"/>
      <c r="B156" s="35"/>
      <c r="C156" s="35" t="s">
        <v>504</v>
      </c>
      <c r="D156" s="35" t="s">
        <v>416</v>
      </c>
      <c r="E156" s="42" t="s">
        <v>408</v>
      </c>
      <c r="F156" s="5"/>
      <c r="G156" s="27">
        <v>0</v>
      </c>
      <c r="H156" s="27">
        <v>0</v>
      </c>
      <c r="I156" s="73">
        <f>G156</f>
        <v>0</v>
      </c>
      <c r="J156" s="73">
        <f>524.1+184.2</f>
        <v>708.3</v>
      </c>
      <c r="K156" s="73">
        <f>164.4+520.5</f>
        <v>684.9</v>
      </c>
      <c r="L156" s="73">
        <f>534.2+168.7</f>
        <v>702.90000000000009</v>
      </c>
    </row>
    <row r="157" spans="1:15" s="55" customFormat="1" ht="90" x14ac:dyDescent="0.25">
      <c r="A157" s="52"/>
      <c r="B157" s="53"/>
      <c r="C157" s="53" t="s">
        <v>422</v>
      </c>
      <c r="D157" s="53" t="s">
        <v>421</v>
      </c>
      <c r="E157" s="54"/>
      <c r="F157" s="5" t="s">
        <v>431</v>
      </c>
      <c r="G157" s="72">
        <f>G158+G159</f>
        <v>1074.3568399999999</v>
      </c>
      <c r="H157" s="72">
        <f t="shared" ref="H157:L157" si="44">H158+H159</f>
        <v>795.68104999999991</v>
      </c>
      <c r="I157" s="72">
        <f t="shared" si="44"/>
        <v>1074.3568399999999</v>
      </c>
      <c r="J157" s="72">
        <f t="shared" si="44"/>
        <v>1778.4</v>
      </c>
      <c r="K157" s="72">
        <f t="shared" si="44"/>
        <v>1732.6999999999998</v>
      </c>
      <c r="L157" s="72">
        <f t="shared" si="44"/>
        <v>1732.6999999999998</v>
      </c>
    </row>
    <row r="158" spans="1:15" s="43" customFormat="1" ht="75" x14ac:dyDescent="0.25">
      <c r="A158" s="41"/>
      <c r="B158" s="35"/>
      <c r="C158" s="35" t="s">
        <v>424</v>
      </c>
      <c r="D158" s="35" t="s">
        <v>423</v>
      </c>
      <c r="E158" s="42" t="s">
        <v>408</v>
      </c>
      <c r="F158" s="5" t="s">
        <v>442</v>
      </c>
      <c r="G158" s="27">
        <v>455.15</v>
      </c>
      <c r="H158" s="27">
        <v>455.15</v>
      </c>
      <c r="I158" s="27">
        <f>G158</f>
        <v>455.15</v>
      </c>
      <c r="J158" s="73">
        <f>351.6+123.5</f>
        <v>475.1</v>
      </c>
      <c r="K158" s="73">
        <f>111+351.6</f>
        <v>462.6</v>
      </c>
      <c r="L158" s="73">
        <f>111+351.6</f>
        <v>462.6</v>
      </c>
    </row>
    <row r="159" spans="1:15" s="43" customFormat="1" ht="75" x14ac:dyDescent="0.25">
      <c r="A159" s="41"/>
      <c r="B159" s="35"/>
      <c r="C159" s="35" t="s">
        <v>424</v>
      </c>
      <c r="D159" s="35" t="s">
        <v>414</v>
      </c>
      <c r="E159" s="42" t="s">
        <v>408</v>
      </c>
      <c r="F159" s="5" t="s">
        <v>443</v>
      </c>
      <c r="G159" s="27">
        <v>619.20684000000006</v>
      </c>
      <c r="H159" s="27">
        <v>340.53104999999999</v>
      </c>
      <c r="I159" s="27">
        <f t="shared" ref="I159:I162" si="45">G159</f>
        <v>619.20684000000006</v>
      </c>
      <c r="J159" s="73">
        <f>964.5+338.8</f>
        <v>1303.3</v>
      </c>
      <c r="K159" s="73">
        <f>304.8+965.3</f>
        <v>1270.0999999999999</v>
      </c>
      <c r="L159" s="73">
        <f>304.8+965.3</f>
        <v>1270.0999999999999</v>
      </c>
    </row>
    <row r="160" spans="1:15" s="43" customFormat="1" ht="90" x14ac:dyDescent="0.25">
      <c r="A160" s="41"/>
      <c r="B160" s="35"/>
      <c r="C160" s="35" t="s">
        <v>433</v>
      </c>
      <c r="D160" s="35" t="s">
        <v>432</v>
      </c>
      <c r="E160" s="42" t="s">
        <v>380</v>
      </c>
      <c r="F160" s="5" t="s">
        <v>447</v>
      </c>
      <c r="G160" s="27">
        <v>21575.16</v>
      </c>
      <c r="H160" s="27">
        <v>5265.12914</v>
      </c>
      <c r="I160" s="27">
        <f t="shared" si="45"/>
        <v>21575.16</v>
      </c>
      <c r="J160" s="27">
        <v>17220</v>
      </c>
      <c r="K160" s="27">
        <v>17220</v>
      </c>
      <c r="L160" s="27">
        <v>15990</v>
      </c>
    </row>
    <row r="161" spans="1:15" s="43" customFormat="1" ht="118.5" customHeight="1" x14ac:dyDescent="0.25">
      <c r="A161" s="41"/>
      <c r="B161" s="35"/>
      <c r="C161" s="35" t="s">
        <v>439</v>
      </c>
      <c r="D161" s="35" t="s">
        <v>438</v>
      </c>
      <c r="E161" s="42" t="s">
        <v>380</v>
      </c>
      <c r="F161" s="5" t="s">
        <v>450</v>
      </c>
      <c r="G161" s="27">
        <v>1790.316</v>
      </c>
      <c r="H161" s="27">
        <v>1790.316</v>
      </c>
      <c r="I161" s="27">
        <f t="shared" si="45"/>
        <v>1790.316</v>
      </c>
      <c r="J161" s="27">
        <v>0</v>
      </c>
      <c r="K161" s="27">
        <v>1023.4</v>
      </c>
      <c r="L161" s="27">
        <v>1074.5999999999999</v>
      </c>
    </row>
    <row r="162" spans="1:15" s="43" customFormat="1" ht="120" x14ac:dyDescent="0.25">
      <c r="A162" s="41"/>
      <c r="B162" s="35"/>
      <c r="C162" s="35" t="s">
        <v>268</v>
      </c>
      <c r="D162" s="35" t="s">
        <v>404</v>
      </c>
      <c r="E162" s="42" t="s">
        <v>318</v>
      </c>
      <c r="F162" s="5" t="s">
        <v>451</v>
      </c>
      <c r="G162" s="73">
        <v>1954.5</v>
      </c>
      <c r="H162" s="73">
        <v>1710.35625</v>
      </c>
      <c r="I162" s="27">
        <f t="shared" si="45"/>
        <v>1954.5</v>
      </c>
      <c r="J162" s="73">
        <v>1980.3</v>
      </c>
      <c r="K162" s="73">
        <v>1980.3</v>
      </c>
      <c r="L162" s="73">
        <v>1980.3</v>
      </c>
    </row>
    <row r="163" spans="1:15" s="43" customFormat="1" ht="75" x14ac:dyDescent="0.25">
      <c r="A163" s="41"/>
      <c r="B163" s="35"/>
      <c r="C163" s="35" t="s">
        <v>405</v>
      </c>
      <c r="D163" s="35" t="s">
        <v>406</v>
      </c>
      <c r="E163" s="42" t="s">
        <v>318</v>
      </c>
      <c r="F163" s="5" t="s">
        <v>460</v>
      </c>
      <c r="G163" s="73">
        <v>3984.1</v>
      </c>
      <c r="H163" s="73">
        <v>881.64964999999995</v>
      </c>
      <c r="I163" s="73">
        <f>G163</f>
        <v>3984.1</v>
      </c>
      <c r="J163" s="73">
        <v>0</v>
      </c>
      <c r="K163" s="73">
        <v>0</v>
      </c>
      <c r="L163" s="73">
        <v>0</v>
      </c>
    </row>
    <row r="164" spans="1:15" s="43" customFormat="1" ht="105" x14ac:dyDescent="0.25">
      <c r="A164" s="41"/>
      <c r="B164" s="35"/>
      <c r="C164" s="35" t="s">
        <v>266</v>
      </c>
      <c r="D164" s="35" t="s">
        <v>395</v>
      </c>
      <c r="E164" s="42" t="s">
        <v>371</v>
      </c>
      <c r="F164" s="5" t="s">
        <v>461</v>
      </c>
      <c r="G164" s="73">
        <v>1128.4000000000001</v>
      </c>
      <c r="H164" s="73">
        <v>813.9</v>
      </c>
      <c r="I164" s="73">
        <f t="shared" ref="I164:I165" si="46">G164</f>
        <v>1128.4000000000001</v>
      </c>
      <c r="J164" s="27">
        <v>1314.2</v>
      </c>
      <c r="K164" s="27">
        <v>1327.1</v>
      </c>
      <c r="L164" s="27">
        <v>1376.9</v>
      </c>
    </row>
    <row r="165" spans="1:15" s="43" customFormat="1" ht="75" x14ac:dyDescent="0.25">
      <c r="A165" s="41"/>
      <c r="B165" s="35"/>
      <c r="C165" s="35" t="s">
        <v>441</v>
      </c>
      <c r="D165" s="35" t="s">
        <v>440</v>
      </c>
      <c r="E165" s="42" t="s">
        <v>313</v>
      </c>
      <c r="F165" s="5" t="s">
        <v>462</v>
      </c>
      <c r="G165" s="27">
        <v>21.5</v>
      </c>
      <c r="H165" s="27">
        <v>0</v>
      </c>
      <c r="I165" s="73">
        <f t="shared" si="46"/>
        <v>21.5</v>
      </c>
      <c r="J165" s="27">
        <v>19.8</v>
      </c>
      <c r="K165" s="27">
        <v>86.4</v>
      </c>
      <c r="L165" s="27">
        <v>8</v>
      </c>
    </row>
    <row r="166" spans="1:15" s="47" customFormat="1" ht="29.25" x14ac:dyDescent="0.25">
      <c r="A166" s="44"/>
      <c r="B166" s="45" t="s">
        <v>229</v>
      </c>
      <c r="C166" s="45" t="s">
        <v>270</v>
      </c>
      <c r="D166" s="45" t="s">
        <v>229</v>
      </c>
      <c r="E166" s="46"/>
      <c r="F166" s="5" t="s">
        <v>468</v>
      </c>
      <c r="G166" s="71">
        <f>G167+G168+G170+G175+G169+G171+G172+G173+G174</f>
        <v>11525.105460000001</v>
      </c>
      <c r="H166" s="71">
        <f t="shared" ref="H166:L166" si="47">H167+H168+H170+H175+H169+H171+H172+H173+H174</f>
        <v>5748.7933500000008</v>
      </c>
      <c r="I166" s="71">
        <f t="shared" si="47"/>
        <v>11525.105460000001</v>
      </c>
      <c r="J166" s="71">
        <f t="shared" si="47"/>
        <v>2216.1999999999998</v>
      </c>
      <c r="K166" s="71">
        <f t="shared" si="47"/>
        <v>1324</v>
      </c>
      <c r="L166" s="71">
        <f t="shared" si="47"/>
        <v>1324</v>
      </c>
    </row>
    <row r="167" spans="1:15" s="43" customFormat="1" ht="75" x14ac:dyDescent="0.25">
      <c r="A167" s="41"/>
      <c r="B167" s="35"/>
      <c r="C167" s="35" t="s">
        <v>271</v>
      </c>
      <c r="D167" s="35" t="s">
        <v>230</v>
      </c>
      <c r="E167" s="42" t="s">
        <v>371</v>
      </c>
      <c r="F167" s="5" t="s">
        <v>469</v>
      </c>
      <c r="G167" s="27">
        <v>956.40800000000002</v>
      </c>
      <c r="H167" s="27">
        <v>956.40800000000002</v>
      </c>
      <c r="I167" s="27">
        <f>G167</f>
        <v>956.40800000000002</v>
      </c>
      <c r="J167" s="27">
        <v>0</v>
      </c>
      <c r="K167" s="27">
        <v>0</v>
      </c>
      <c r="L167" s="27">
        <v>0</v>
      </c>
      <c r="N167" s="56">
        <v>11520.73546</v>
      </c>
      <c r="O167" s="56">
        <v>5745.5153500000006</v>
      </c>
    </row>
    <row r="168" spans="1:15" s="43" customFormat="1" ht="75" x14ac:dyDescent="0.25">
      <c r="A168" s="41"/>
      <c r="B168" s="35"/>
      <c r="C168" s="35" t="s">
        <v>445</v>
      </c>
      <c r="D168" s="35" t="s">
        <v>230</v>
      </c>
      <c r="E168" s="42" t="s">
        <v>318</v>
      </c>
      <c r="F168" s="5" t="s">
        <v>470</v>
      </c>
      <c r="G168" s="27">
        <v>2834.3283000000001</v>
      </c>
      <c r="H168" s="27">
        <v>2273.4301</v>
      </c>
      <c r="I168" s="27">
        <f t="shared" ref="I168:I175" si="48">G168</f>
        <v>2834.3283000000001</v>
      </c>
      <c r="J168" s="27">
        <v>0</v>
      </c>
      <c r="K168" s="27">
        <v>0</v>
      </c>
      <c r="L168" s="27">
        <v>0</v>
      </c>
    </row>
    <row r="169" spans="1:15" s="43" customFormat="1" ht="75" x14ac:dyDescent="0.25">
      <c r="A169" s="41"/>
      <c r="B169" s="35"/>
      <c r="C169" s="35" t="s">
        <v>452</v>
      </c>
      <c r="D169" s="35" t="s">
        <v>230</v>
      </c>
      <c r="E169" s="42" t="s">
        <v>313</v>
      </c>
      <c r="F169" s="5" t="s">
        <v>471</v>
      </c>
      <c r="G169" s="27">
        <v>1627.80738</v>
      </c>
      <c r="H169" s="27">
        <v>1145.4452100000001</v>
      </c>
      <c r="I169" s="27">
        <f t="shared" si="48"/>
        <v>1627.80738</v>
      </c>
      <c r="J169" s="27">
        <v>0</v>
      </c>
      <c r="K169" s="27">
        <v>0</v>
      </c>
      <c r="L169" s="27">
        <v>0</v>
      </c>
    </row>
    <row r="170" spans="1:15" s="43" customFormat="1" ht="75" x14ac:dyDescent="0.25">
      <c r="A170" s="41"/>
      <c r="B170" s="35"/>
      <c r="C170" s="35" t="s">
        <v>272</v>
      </c>
      <c r="D170" s="35" t="s">
        <v>231</v>
      </c>
      <c r="E170" s="42" t="s">
        <v>371</v>
      </c>
      <c r="F170" s="5" t="s">
        <v>476</v>
      </c>
      <c r="G170" s="73">
        <v>496.02</v>
      </c>
      <c r="H170" s="73">
        <v>319.28750000000002</v>
      </c>
      <c r="I170" s="27">
        <f t="shared" si="48"/>
        <v>496.02</v>
      </c>
      <c r="J170" s="27">
        <v>2216.1999999999998</v>
      </c>
      <c r="K170" s="27">
        <v>1324</v>
      </c>
      <c r="L170" s="27">
        <v>1324</v>
      </c>
    </row>
    <row r="171" spans="1:15" s="43" customFormat="1" ht="90" x14ac:dyDescent="0.25">
      <c r="A171" s="41"/>
      <c r="B171" s="35"/>
      <c r="C171" s="35" t="s">
        <v>444</v>
      </c>
      <c r="D171" s="35" t="s">
        <v>231</v>
      </c>
      <c r="E171" s="42" t="s">
        <v>317</v>
      </c>
      <c r="F171" s="5" t="s">
        <v>477</v>
      </c>
      <c r="G171" s="73">
        <v>96.893780000000007</v>
      </c>
      <c r="H171" s="73">
        <v>61.96378</v>
      </c>
      <c r="I171" s="27">
        <f t="shared" si="48"/>
        <v>96.893780000000007</v>
      </c>
      <c r="J171" s="27">
        <v>0</v>
      </c>
      <c r="K171" s="27">
        <v>0</v>
      </c>
      <c r="L171" s="27">
        <v>0</v>
      </c>
    </row>
    <row r="172" spans="1:15" s="43" customFormat="1" ht="90" x14ac:dyDescent="0.25">
      <c r="A172" s="41"/>
      <c r="B172" s="35"/>
      <c r="C172" s="35" t="s">
        <v>446</v>
      </c>
      <c r="D172" s="35" t="s">
        <v>231</v>
      </c>
      <c r="E172" s="42" t="s">
        <v>380</v>
      </c>
      <c r="F172" s="5" t="s">
        <v>478</v>
      </c>
      <c r="G172" s="73">
        <v>4531.59</v>
      </c>
      <c r="H172" s="73">
        <v>423.44826</v>
      </c>
      <c r="I172" s="27">
        <f t="shared" si="48"/>
        <v>4531.59</v>
      </c>
      <c r="J172" s="27">
        <v>0</v>
      </c>
      <c r="K172" s="27">
        <v>0</v>
      </c>
      <c r="L172" s="27">
        <v>0</v>
      </c>
    </row>
    <row r="173" spans="1:15" s="43" customFormat="1" ht="75" x14ac:dyDescent="0.25">
      <c r="A173" s="41"/>
      <c r="B173" s="35"/>
      <c r="C173" s="35" t="s">
        <v>448</v>
      </c>
      <c r="D173" s="35" t="s">
        <v>231</v>
      </c>
      <c r="E173" s="42" t="s">
        <v>314</v>
      </c>
      <c r="F173" s="5" t="s">
        <v>479</v>
      </c>
      <c r="G173" s="73">
        <v>125.1</v>
      </c>
      <c r="H173" s="73">
        <v>77.250500000000002</v>
      </c>
      <c r="I173" s="27">
        <f t="shared" si="48"/>
        <v>125.1</v>
      </c>
      <c r="J173" s="27">
        <v>0</v>
      </c>
      <c r="K173" s="27">
        <v>0</v>
      </c>
      <c r="L173" s="27">
        <v>0</v>
      </c>
    </row>
    <row r="174" spans="1:15" s="43" customFormat="1" ht="75" x14ac:dyDescent="0.25">
      <c r="A174" s="41"/>
      <c r="B174" s="35"/>
      <c r="C174" s="35" t="s">
        <v>449</v>
      </c>
      <c r="D174" s="35" t="s">
        <v>231</v>
      </c>
      <c r="E174" s="42" t="s">
        <v>313</v>
      </c>
      <c r="F174" s="5" t="s">
        <v>480</v>
      </c>
      <c r="G174" s="73">
        <v>766.67</v>
      </c>
      <c r="H174" s="73">
        <v>491.56</v>
      </c>
      <c r="I174" s="27">
        <f t="shared" si="48"/>
        <v>766.67</v>
      </c>
      <c r="J174" s="27">
        <v>0</v>
      </c>
      <c r="K174" s="27">
        <v>0</v>
      </c>
      <c r="L174" s="27">
        <v>0</v>
      </c>
    </row>
    <row r="175" spans="1:15" s="43" customFormat="1" ht="90" x14ac:dyDescent="0.25">
      <c r="A175" s="41"/>
      <c r="B175" s="35"/>
      <c r="C175" s="35" t="s">
        <v>453</v>
      </c>
      <c r="D175" s="35" t="s">
        <v>290</v>
      </c>
      <c r="E175" s="42" t="s">
        <v>380</v>
      </c>
      <c r="F175" s="5" t="s">
        <v>481</v>
      </c>
      <c r="G175" s="73">
        <v>90.287999999999997</v>
      </c>
      <c r="H175" s="73">
        <v>0</v>
      </c>
      <c r="I175" s="27">
        <f t="shared" si="48"/>
        <v>90.287999999999997</v>
      </c>
      <c r="J175" s="27">
        <v>0</v>
      </c>
      <c r="K175" s="27">
        <v>0</v>
      </c>
      <c r="L175" s="27">
        <v>0</v>
      </c>
    </row>
    <row r="176" spans="1:15" s="58" customFormat="1" ht="42.75" x14ac:dyDescent="0.2">
      <c r="A176" s="57"/>
      <c r="B176" s="45" t="s">
        <v>464</v>
      </c>
      <c r="C176" s="45" t="s">
        <v>463</v>
      </c>
      <c r="D176" s="45" t="s">
        <v>464</v>
      </c>
      <c r="E176" s="46"/>
      <c r="F176" s="5" t="s">
        <v>482</v>
      </c>
      <c r="G176" s="75">
        <f>G177+G178</f>
        <v>249.2</v>
      </c>
      <c r="H176" s="75">
        <f t="shared" ref="H176:L176" si="49">H177+H178</f>
        <v>249.2</v>
      </c>
      <c r="I176" s="75">
        <f t="shared" si="49"/>
        <v>249.2</v>
      </c>
      <c r="J176" s="75">
        <f t="shared" si="49"/>
        <v>0</v>
      </c>
      <c r="K176" s="75">
        <f t="shared" si="49"/>
        <v>0</v>
      </c>
      <c r="L176" s="75">
        <f t="shared" si="49"/>
        <v>0</v>
      </c>
    </row>
    <row r="177" spans="1:12" s="59" customFormat="1" ht="75" x14ac:dyDescent="0.25">
      <c r="A177" s="48"/>
      <c r="B177" s="35"/>
      <c r="C177" s="35" t="s">
        <v>466</v>
      </c>
      <c r="D177" s="60" t="s">
        <v>465</v>
      </c>
      <c r="E177" s="42" t="s">
        <v>318</v>
      </c>
      <c r="F177" s="5" t="s">
        <v>483</v>
      </c>
      <c r="G177" s="76">
        <v>97.2</v>
      </c>
      <c r="H177" s="76">
        <v>97.2</v>
      </c>
      <c r="I177" s="76">
        <f>G177</f>
        <v>97.2</v>
      </c>
      <c r="J177" s="77"/>
      <c r="K177" s="77"/>
      <c r="L177" s="77"/>
    </row>
    <row r="178" spans="1:12" s="43" customFormat="1" ht="60" x14ac:dyDescent="0.25">
      <c r="A178" s="41"/>
      <c r="B178" s="35"/>
      <c r="C178" s="35" t="s">
        <v>467</v>
      </c>
      <c r="D178" s="35" t="s">
        <v>465</v>
      </c>
      <c r="E178" s="42" t="s">
        <v>313</v>
      </c>
      <c r="F178" s="5" t="s">
        <v>484</v>
      </c>
      <c r="G178" s="73">
        <v>152</v>
      </c>
      <c r="H178" s="73">
        <v>152</v>
      </c>
      <c r="I178" s="76">
        <f>G178</f>
        <v>152</v>
      </c>
      <c r="J178" s="27">
        <v>0</v>
      </c>
      <c r="K178" s="27">
        <v>0</v>
      </c>
      <c r="L178" s="27">
        <v>0</v>
      </c>
    </row>
    <row r="179" spans="1:12" s="47" customFormat="1" ht="86.25" x14ac:dyDescent="0.25">
      <c r="A179" s="44"/>
      <c r="B179" s="45" t="s">
        <v>232</v>
      </c>
      <c r="C179" s="45" t="s">
        <v>273</v>
      </c>
      <c r="D179" s="45" t="s">
        <v>232</v>
      </c>
      <c r="E179" s="46"/>
      <c r="F179" s="5" t="s">
        <v>485</v>
      </c>
      <c r="G179" s="71">
        <f>G180+G184+G181+G182+G183</f>
        <v>-815.96706000000006</v>
      </c>
      <c r="H179" s="71">
        <f t="shared" ref="H179:L179" si="50">H180+H184+H181+H182+H183</f>
        <v>-815.96706000000006</v>
      </c>
      <c r="I179" s="71">
        <f t="shared" si="50"/>
        <v>-815.96706000000006</v>
      </c>
      <c r="J179" s="71">
        <f t="shared" si="50"/>
        <v>0</v>
      </c>
      <c r="K179" s="71">
        <f t="shared" si="50"/>
        <v>0</v>
      </c>
      <c r="L179" s="71">
        <f t="shared" si="50"/>
        <v>0</v>
      </c>
    </row>
    <row r="180" spans="1:12" s="43" customFormat="1" ht="75" x14ac:dyDescent="0.25">
      <c r="A180" s="41"/>
      <c r="B180" s="48"/>
      <c r="C180" s="48" t="s">
        <v>274</v>
      </c>
      <c r="D180" s="35" t="s">
        <v>234</v>
      </c>
      <c r="E180" s="42" t="s">
        <v>318</v>
      </c>
      <c r="F180" s="5" t="s">
        <v>486</v>
      </c>
      <c r="G180" s="27">
        <v>-475.97106000000002</v>
      </c>
      <c r="H180" s="27">
        <v>-475.97106000000002</v>
      </c>
      <c r="I180" s="27">
        <f>G180</f>
        <v>-475.97106000000002</v>
      </c>
      <c r="J180" s="27">
        <v>0</v>
      </c>
      <c r="K180" s="27">
        <v>0</v>
      </c>
      <c r="L180" s="27">
        <v>0</v>
      </c>
    </row>
    <row r="181" spans="1:12" s="43" customFormat="1" ht="60" x14ac:dyDescent="0.25">
      <c r="A181" s="41"/>
      <c r="B181" s="48"/>
      <c r="C181" s="48" t="s">
        <v>455</v>
      </c>
      <c r="D181" s="35" t="s">
        <v>234</v>
      </c>
      <c r="E181" s="42" t="s">
        <v>313</v>
      </c>
      <c r="F181" s="5" t="s">
        <v>487</v>
      </c>
      <c r="G181" s="27">
        <v>-132</v>
      </c>
      <c r="H181" s="27">
        <v>-132</v>
      </c>
      <c r="I181" s="27">
        <f t="shared" ref="I181:I184" si="51">G181</f>
        <v>-132</v>
      </c>
      <c r="J181" s="27">
        <v>0</v>
      </c>
      <c r="K181" s="27">
        <v>0</v>
      </c>
      <c r="L181" s="27">
        <v>0</v>
      </c>
    </row>
    <row r="182" spans="1:12" s="43" customFormat="1" ht="75" x14ac:dyDescent="0.25">
      <c r="A182" s="41"/>
      <c r="B182" s="48"/>
      <c r="C182" s="48" t="s">
        <v>456</v>
      </c>
      <c r="D182" s="35" t="s">
        <v>458</v>
      </c>
      <c r="E182" s="42" t="s">
        <v>313</v>
      </c>
      <c r="F182" s="5" t="s">
        <v>499</v>
      </c>
      <c r="G182" s="27">
        <v>-1.5</v>
      </c>
      <c r="H182" s="27">
        <v>-1.5</v>
      </c>
      <c r="I182" s="27">
        <f t="shared" si="51"/>
        <v>-1.5</v>
      </c>
      <c r="J182" s="27">
        <v>0</v>
      </c>
      <c r="K182" s="27">
        <v>0</v>
      </c>
      <c r="L182" s="27">
        <v>0</v>
      </c>
    </row>
    <row r="183" spans="1:12" s="43" customFormat="1" ht="60" x14ac:dyDescent="0.25">
      <c r="A183" s="41"/>
      <c r="B183" s="48"/>
      <c r="C183" s="48" t="s">
        <v>457</v>
      </c>
      <c r="D183" s="35" t="s">
        <v>459</v>
      </c>
      <c r="E183" s="42" t="s">
        <v>313</v>
      </c>
      <c r="F183" s="5" t="s">
        <v>500</v>
      </c>
      <c r="G183" s="27">
        <v>-204.96</v>
      </c>
      <c r="H183" s="27">
        <v>-204.96</v>
      </c>
      <c r="I183" s="27">
        <f t="shared" si="51"/>
        <v>-204.96</v>
      </c>
      <c r="J183" s="27">
        <v>0</v>
      </c>
      <c r="K183" s="27">
        <v>0</v>
      </c>
      <c r="L183" s="27">
        <v>0</v>
      </c>
    </row>
    <row r="184" spans="1:12" s="43" customFormat="1" ht="60" x14ac:dyDescent="0.25">
      <c r="A184" s="41"/>
      <c r="B184" s="48"/>
      <c r="C184" s="48" t="s">
        <v>454</v>
      </c>
      <c r="D184" s="35" t="s">
        <v>234</v>
      </c>
      <c r="E184" s="42" t="s">
        <v>313</v>
      </c>
      <c r="F184" s="5" t="s">
        <v>503</v>
      </c>
      <c r="G184" s="27">
        <v>-1.536</v>
      </c>
      <c r="H184" s="27">
        <v>-1.536</v>
      </c>
      <c r="I184" s="27">
        <f t="shared" si="51"/>
        <v>-1.536</v>
      </c>
      <c r="J184" s="27">
        <v>0</v>
      </c>
      <c r="K184" s="27">
        <v>0</v>
      </c>
      <c r="L184" s="27">
        <v>0</v>
      </c>
    </row>
  </sheetData>
  <autoFilter ref="A99:P184"/>
  <mergeCells count="18">
    <mergeCell ref="J5:L5"/>
    <mergeCell ref="C6:C7"/>
    <mergeCell ref="K6:K7"/>
    <mergeCell ref="L6:L7"/>
    <mergeCell ref="A1:K1"/>
    <mergeCell ref="A2:L2"/>
    <mergeCell ref="A3:L3"/>
    <mergeCell ref="A5:A7"/>
    <mergeCell ref="B5:B7"/>
    <mergeCell ref="C5:D5"/>
    <mergeCell ref="E5:E7"/>
    <mergeCell ref="F5:F7"/>
    <mergeCell ref="G5:G7"/>
    <mergeCell ref="D6:D7"/>
    <mergeCell ref="H5:H7"/>
    <mergeCell ref="I5:I7"/>
    <mergeCell ref="J6:J7"/>
    <mergeCell ref="D4:G4"/>
  </mergeCells>
  <pageMargins left="0.11811023622047245" right="0.11811023622047245" top="0.15748031496062992" bottom="0.15748031496062992"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4"/>
  <sheetViews>
    <sheetView view="pageBreakPreview" topLeftCell="A7" zoomScale="80" zoomScaleNormal="100" zoomScaleSheetLayoutView="80" workbookViewId="0">
      <selection activeCell="I17" sqref="I17"/>
    </sheetView>
  </sheetViews>
  <sheetFormatPr defaultRowHeight="15" x14ac:dyDescent="0.25"/>
  <cols>
    <col min="1" max="1" width="5.28515625" customWidth="1"/>
    <col min="2" max="2" width="29.85546875" customWidth="1"/>
    <col min="3" max="3" width="28.28515625" customWidth="1"/>
    <col min="4" max="4" width="47.42578125" customWidth="1"/>
    <col min="5" max="5" width="29.140625" style="105" customWidth="1"/>
    <col min="7" max="7" width="13.28515625" style="164" customWidth="1"/>
    <col min="8" max="8" width="14" style="164" customWidth="1"/>
    <col min="9" max="9" width="13.28515625" style="164" customWidth="1"/>
    <col min="10" max="10" width="12.42578125" style="164" customWidth="1"/>
    <col min="11" max="11" width="15.28515625" style="164" customWidth="1"/>
    <col min="12" max="12" width="13" style="164" customWidth="1"/>
    <col min="13" max="13" width="18.140625" customWidth="1"/>
    <col min="14" max="14" width="10.5703125" bestFit="1" customWidth="1"/>
  </cols>
  <sheetData>
    <row r="1" spans="1:16" ht="18.75" x14ac:dyDescent="0.25">
      <c r="A1" s="377" t="s">
        <v>0</v>
      </c>
      <c r="B1" s="378"/>
      <c r="C1" s="378"/>
      <c r="D1" s="378"/>
      <c r="E1" s="378"/>
      <c r="F1" s="378"/>
      <c r="G1" s="378"/>
      <c r="H1" s="378"/>
      <c r="I1" s="378"/>
      <c r="J1" s="378"/>
      <c r="K1" s="378"/>
    </row>
    <row r="2" spans="1:16" ht="18.75" x14ac:dyDescent="0.25">
      <c r="A2" s="377" t="s">
        <v>235</v>
      </c>
      <c r="B2" s="379"/>
      <c r="C2" s="379"/>
      <c r="D2" s="379"/>
      <c r="E2" s="379"/>
      <c r="F2" s="379"/>
      <c r="G2" s="379"/>
      <c r="H2" s="379"/>
      <c r="I2" s="379"/>
      <c r="J2" s="379"/>
      <c r="K2" s="379"/>
      <c r="L2" s="379"/>
    </row>
    <row r="3" spans="1:16" ht="18.75" x14ac:dyDescent="0.25">
      <c r="A3" s="377" t="s">
        <v>296</v>
      </c>
      <c r="B3" s="379"/>
      <c r="C3" s="379"/>
      <c r="D3" s="379"/>
      <c r="E3" s="379"/>
      <c r="F3" s="379"/>
      <c r="G3" s="379"/>
      <c r="H3" s="379"/>
      <c r="I3" s="379"/>
      <c r="J3" s="379"/>
      <c r="K3" s="379"/>
      <c r="L3" s="379"/>
    </row>
    <row r="4" spans="1:16" ht="35.25" customHeight="1" x14ac:dyDescent="0.25">
      <c r="A4" s="78"/>
      <c r="B4" s="79"/>
      <c r="C4" s="79"/>
      <c r="D4" s="384" t="s">
        <v>506</v>
      </c>
      <c r="E4" s="377"/>
      <c r="F4" s="377"/>
      <c r="G4" s="377"/>
      <c r="H4" s="165"/>
      <c r="I4" s="165"/>
      <c r="J4" s="165"/>
      <c r="K4" s="165"/>
      <c r="L4" s="165"/>
    </row>
    <row r="5" spans="1:16" s="106" customFormat="1" ht="11.25" x14ac:dyDescent="0.2">
      <c r="A5" s="387" t="s">
        <v>1</v>
      </c>
      <c r="B5" s="387" t="s">
        <v>2</v>
      </c>
      <c r="C5" s="387" t="s">
        <v>3</v>
      </c>
      <c r="D5" s="387"/>
      <c r="E5" s="391" t="s">
        <v>69</v>
      </c>
      <c r="F5" s="387" t="s">
        <v>4</v>
      </c>
      <c r="G5" s="389" t="s">
        <v>507</v>
      </c>
      <c r="H5" s="389" t="s">
        <v>651</v>
      </c>
      <c r="I5" s="389" t="s">
        <v>553</v>
      </c>
      <c r="J5" s="389" t="s">
        <v>5</v>
      </c>
      <c r="K5" s="389"/>
      <c r="L5" s="389"/>
    </row>
    <row r="6" spans="1:16" s="106" customFormat="1" ht="24.75" customHeight="1" x14ac:dyDescent="0.2">
      <c r="A6" s="387"/>
      <c r="B6" s="387"/>
      <c r="C6" s="387" t="s">
        <v>6</v>
      </c>
      <c r="D6" s="387" t="s">
        <v>9</v>
      </c>
      <c r="E6" s="391"/>
      <c r="F6" s="387"/>
      <c r="G6" s="389"/>
      <c r="H6" s="392"/>
      <c r="I6" s="392"/>
      <c r="J6" s="389" t="s">
        <v>554</v>
      </c>
      <c r="K6" s="389" t="s">
        <v>555</v>
      </c>
      <c r="L6" s="389" t="s">
        <v>556</v>
      </c>
    </row>
    <row r="7" spans="1:16" s="106" customFormat="1" ht="33.75" customHeight="1" x14ac:dyDescent="0.2">
      <c r="A7" s="387"/>
      <c r="B7" s="387"/>
      <c r="C7" s="387"/>
      <c r="D7" s="388"/>
      <c r="E7" s="391"/>
      <c r="F7" s="387"/>
      <c r="G7" s="389"/>
      <c r="H7" s="392"/>
      <c r="I7" s="392"/>
      <c r="J7" s="390"/>
      <c r="K7" s="389"/>
      <c r="L7" s="389"/>
    </row>
    <row r="8" spans="1:16" x14ac:dyDescent="0.25">
      <c r="A8" s="80">
        <v>1</v>
      </c>
      <c r="B8" s="80">
        <v>2</v>
      </c>
      <c r="C8" s="80">
        <v>3</v>
      </c>
      <c r="D8" s="80">
        <v>4</v>
      </c>
      <c r="E8" s="19">
        <v>5</v>
      </c>
      <c r="F8" s="80">
        <v>6</v>
      </c>
      <c r="G8" s="166">
        <v>7</v>
      </c>
      <c r="H8" s="166">
        <v>8</v>
      </c>
      <c r="I8" s="166">
        <v>9</v>
      </c>
      <c r="J8" s="166">
        <v>10</v>
      </c>
      <c r="K8" s="166">
        <v>11</v>
      </c>
      <c r="L8" s="166">
        <v>12</v>
      </c>
    </row>
    <row r="9" spans="1:16" s="111" customFormat="1" ht="28.5" x14ac:dyDescent="0.25">
      <c r="A9" s="107"/>
      <c r="B9" s="108" t="s">
        <v>7</v>
      </c>
      <c r="C9" s="109"/>
      <c r="D9" s="109"/>
      <c r="E9" s="130"/>
      <c r="F9" s="110" t="s">
        <v>13</v>
      </c>
      <c r="G9" s="167">
        <f>G10+G123-0.12</f>
        <v>824468.09975000005</v>
      </c>
      <c r="H9" s="167">
        <f t="shared" ref="H9:L9" si="0">H10+H123</f>
        <v>662344.43825999997</v>
      </c>
      <c r="I9" s="167">
        <f t="shared" si="0"/>
        <v>833299.50371800002</v>
      </c>
      <c r="J9" s="167">
        <f t="shared" si="0"/>
        <v>830636.39999999991</v>
      </c>
      <c r="K9" s="167">
        <f t="shared" si="0"/>
        <v>733636.05</v>
      </c>
      <c r="L9" s="167">
        <f t="shared" si="0"/>
        <v>762410.55</v>
      </c>
      <c r="M9" s="111">
        <v>828560.1</v>
      </c>
      <c r="N9" s="111">
        <v>732099.35</v>
      </c>
      <c r="O9" s="111">
        <v>760873.85</v>
      </c>
    </row>
    <row r="10" spans="1:16" ht="28.5" x14ac:dyDescent="0.25">
      <c r="A10" s="112"/>
      <c r="B10" s="113" t="s">
        <v>8</v>
      </c>
      <c r="C10" s="113" t="s">
        <v>77</v>
      </c>
      <c r="D10" s="113" t="s">
        <v>8</v>
      </c>
      <c r="E10" s="126"/>
      <c r="F10" s="114" t="s">
        <v>14</v>
      </c>
      <c r="G10" s="168">
        <f t="shared" ref="G10:L10" si="1">G11+G40</f>
        <v>153712.27320999998</v>
      </c>
      <c r="H10" s="168">
        <f t="shared" si="1"/>
        <v>128880.81951</v>
      </c>
      <c r="I10" s="168">
        <f t="shared" si="1"/>
        <v>162543.55717800002</v>
      </c>
      <c r="J10" s="168">
        <f t="shared" si="1"/>
        <v>164244.39999999997</v>
      </c>
      <c r="K10" s="168">
        <f t="shared" si="1"/>
        <v>174541.15</v>
      </c>
      <c r="L10" s="168">
        <f t="shared" si="1"/>
        <v>185188.65000000002</v>
      </c>
      <c r="M10" s="64">
        <f>J9-M9</f>
        <v>2076.2999999999302</v>
      </c>
      <c r="N10" s="64">
        <f t="shared" ref="N10:O10" si="2">K9-N9</f>
        <v>1536.7000000000698</v>
      </c>
      <c r="O10" s="64">
        <f t="shared" si="2"/>
        <v>1536.7000000000698</v>
      </c>
    </row>
    <row r="11" spans="1:16" ht="15.75" x14ac:dyDescent="0.25">
      <c r="A11" s="115"/>
      <c r="B11" s="116" t="s">
        <v>10</v>
      </c>
      <c r="C11" s="117"/>
      <c r="D11" s="117"/>
      <c r="E11" s="131"/>
      <c r="F11" s="118" t="s">
        <v>15</v>
      </c>
      <c r="G11" s="169">
        <f t="shared" ref="G11:L11" si="3">G12++G19+G31</f>
        <v>130105.31056999999</v>
      </c>
      <c r="H11" s="169">
        <f t="shared" si="3"/>
        <v>111002.34426</v>
      </c>
      <c r="I11" s="169">
        <f t="shared" si="3"/>
        <v>139813.78173800002</v>
      </c>
      <c r="J11" s="169">
        <f>J12++J19+J31</f>
        <v>143163.59999999998</v>
      </c>
      <c r="K11" s="169">
        <f t="shared" si="3"/>
        <v>152734.54999999999</v>
      </c>
      <c r="L11" s="169">
        <f t="shared" si="3"/>
        <v>162618.85</v>
      </c>
      <c r="N11" s="64"/>
    </row>
    <row r="12" spans="1:16" s="8" customFormat="1" ht="15.75" x14ac:dyDescent="0.25">
      <c r="A12" s="6"/>
      <c r="B12" s="3" t="s">
        <v>11</v>
      </c>
      <c r="C12" s="3" t="s">
        <v>78</v>
      </c>
      <c r="D12" s="3" t="s">
        <v>79</v>
      </c>
      <c r="E12" s="20"/>
      <c r="F12" s="7" t="s">
        <v>16</v>
      </c>
      <c r="G12" s="170">
        <f>G13</f>
        <v>115093.79763999999</v>
      </c>
      <c r="H12" s="170">
        <f t="shared" ref="H12:L12" si="4">H13</f>
        <v>94852.384989999991</v>
      </c>
      <c r="I12" s="170">
        <f t="shared" si="4"/>
        <v>120607.88499000001</v>
      </c>
      <c r="J12" s="170">
        <f t="shared" si="4"/>
        <v>123501.09999999999</v>
      </c>
      <c r="K12" s="170">
        <f t="shared" si="4"/>
        <v>131628.6</v>
      </c>
      <c r="L12" s="170">
        <f t="shared" si="4"/>
        <v>140291.6</v>
      </c>
    </row>
    <row r="13" spans="1:16" s="8" customFormat="1" ht="30" x14ac:dyDescent="0.25">
      <c r="A13" s="6"/>
      <c r="B13" s="9" t="s">
        <v>12</v>
      </c>
      <c r="C13" s="9" t="s">
        <v>68</v>
      </c>
      <c r="D13" s="9" t="s">
        <v>12</v>
      </c>
      <c r="E13" s="21"/>
      <c r="F13" s="14" t="s">
        <v>17</v>
      </c>
      <c r="G13" s="171">
        <f>G14+G15+G16+G17+G18</f>
        <v>115093.79763999999</v>
      </c>
      <c r="H13" s="171">
        <f>H14+H15+H16+H17+H18</f>
        <v>94852.384989999991</v>
      </c>
      <c r="I13" s="171">
        <f t="shared" ref="I13:L13" si="5">I14+I15+I16+I17+I18</f>
        <v>120607.88499000001</v>
      </c>
      <c r="J13" s="171">
        <f t="shared" si="5"/>
        <v>123501.09999999999</v>
      </c>
      <c r="K13" s="171">
        <f t="shared" si="5"/>
        <v>131628.6</v>
      </c>
      <c r="L13" s="171">
        <f t="shared" si="5"/>
        <v>140291.6</v>
      </c>
      <c r="P13" s="8">
        <v>162290.70000000001</v>
      </c>
    </row>
    <row r="14" spans="1:16" ht="75" x14ac:dyDescent="0.25">
      <c r="A14" s="80"/>
      <c r="B14" s="4"/>
      <c r="C14" s="4" t="s">
        <v>72</v>
      </c>
      <c r="D14" s="4" t="s">
        <v>70</v>
      </c>
      <c r="E14" s="19" t="s">
        <v>71</v>
      </c>
      <c r="F14" s="5" t="s">
        <v>18</v>
      </c>
      <c r="G14" s="172">
        <v>112351.99764</v>
      </c>
      <c r="H14" s="172">
        <v>89381.127789999999</v>
      </c>
      <c r="I14" s="172">
        <v>114507.42779</v>
      </c>
      <c r="J14" s="172">
        <v>119742.7</v>
      </c>
      <c r="K14" s="172">
        <v>127645.6</v>
      </c>
      <c r="L14" s="172">
        <v>136070.20000000001</v>
      </c>
      <c r="P14" s="64">
        <f>P13-I10</f>
        <v>-252.85717800000566</v>
      </c>
    </row>
    <row r="15" spans="1:16" ht="120" x14ac:dyDescent="0.25">
      <c r="A15" s="80"/>
      <c r="B15" s="4"/>
      <c r="C15" s="4" t="s">
        <v>74</v>
      </c>
      <c r="D15" s="4" t="s">
        <v>73</v>
      </c>
      <c r="E15" s="19" t="s">
        <v>71</v>
      </c>
      <c r="F15" s="5" t="s">
        <v>19</v>
      </c>
      <c r="G15" s="172">
        <v>666.4</v>
      </c>
      <c r="H15" s="172">
        <v>745.97857999999997</v>
      </c>
      <c r="I15" s="172">
        <v>898.97857999999997</v>
      </c>
      <c r="J15" s="172">
        <v>911.8</v>
      </c>
      <c r="K15" s="172">
        <v>972</v>
      </c>
      <c r="L15" s="172">
        <v>1036.0999999999999</v>
      </c>
    </row>
    <row r="16" spans="1:16" ht="45" x14ac:dyDescent="0.25">
      <c r="A16" s="80"/>
      <c r="B16" s="4"/>
      <c r="C16" s="4" t="s">
        <v>76</v>
      </c>
      <c r="D16" s="4" t="s">
        <v>75</v>
      </c>
      <c r="E16" s="19" t="s">
        <v>71</v>
      </c>
      <c r="F16" s="5" t="s">
        <v>20</v>
      </c>
      <c r="G16" s="172">
        <v>888.5</v>
      </c>
      <c r="H16" s="172">
        <v>1499.7335700000001</v>
      </c>
      <c r="I16" s="172">
        <v>1703.63357</v>
      </c>
      <c r="J16" s="172">
        <v>1943.7</v>
      </c>
      <c r="K16" s="172">
        <v>2072</v>
      </c>
      <c r="L16" s="172">
        <v>2208.8000000000002</v>
      </c>
    </row>
    <row r="17" spans="1:15" ht="105" x14ac:dyDescent="0.25">
      <c r="A17" s="80"/>
      <c r="B17" s="4"/>
      <c r="C17" s="4" t="s">
        <v>305</v>
      </c>
      <c r="D17" s="4" t="s">
        <v>304</v>
      </c>
      <c r="E17" s="19" t="s">
        <v>71</v>
      </c>
      <c r="F17" s="5" t="s">
        <v>278</v>
      </c>
      <c r="G17" s="172">
        <v>1186.9000000000001</v>
      </c>
      <c r="H17" s="172">
        <v>967.13789999999995</v>
      </c>
      <c r="I17" s="172">
        <v>1239.4378999999999</v>
      </c>
      <c r="J17" s="172">
        <v>902.9</v>
      </c>
      <c r="K17" s="172">
        <v>939</v>
      </c>
      <c r="L17" s="172">
        <v>976.5</v>
      </c>
    </row>
    <row r="18" spans="1:15" ht="60" x14ac:dyDescent="0.25">
      <c r="A18" s="159"/>
      <c r="B18" s="4"/>
      <c r="C18" s="4" t="s">
        <v>646</v>
      </c>
      <c r="D18" s="4" t="s">
        <v>647</v>
      </c>
      <c r="E18" s="19" t="s">
        <v>71</v>
      </c>
      <c r="F18" s="5"/>
      <c r="G18" s="172">
        <v>0</v>
      </c>
      <c r="H18" s="172">
        <v>2258.40715</v>
      </c>
      <c r="I18" s="172">
        <v>2258.40715</v>
      </c>
      <c r="J18" s="172">
        <v>0</v>
      </c>
      <c r="K18" s="172">
        <v>0</v>
      </c>
      <c r="L18" s="172">
        <v>0</v>
      </c>
    </row>
    <row r="19" spans="1:15" ht="29.25" x14ac:dyDescent="0.25">
      <c r="A19" s="10"/>
      <c r="B19" s="12" t="s">
        <v>80</v>
      </c>
      <c r="C19" s="13" t="s">
        <v>81</v>
      </c>
      <c r="D19" s="12" t="s">
        <v>82</v>
      </c>
      <c r="E19" s="31"/>
      <c r="F19" s="7" t="s">
        <v>22</v>
      </c>
      <c r="G19" s="173">
        <f>G24+G27+G29+G20</f>
        <v>13403.812930000002</v>
      </c>
      <c r="H19" s="173">
        <f t="shared" ref="H19:L19" si="6">H24+H27+H29+H20</f>
        <v>15154.189450000002</v>
      </c>
      <c r="I19" s="173">
        <f t="shared" si="6"/>
        <v>17922.226928</v>
      </c>
      <c r="J19" s="173">
        <f t="shared" si="6"/>
        <v>18510.599999999999</v>
      </c>
      <c r="K19" s="173">
        <f t="shared" si="6"/>
        <v>19908.449999999997</v>
      </c>
      <c r="L19" s="173">
        <f t="shared" si="6"/>
        <v>21082.25</v>
      </c>
    </row>
    <row r="20" spans="1:15" ht="45" x14ac:dyDescent="0.25">
      <c r="A20" s="10"/>
      <c r="B20" s="15" t="s">
        <v>275</v>
      </c>
      <c r="C20" s="16" t="s">
        <v>276</v>
      </c>
      <c r="D20" s="15" t="s">
        <v>275</v>
      </c>
      <c r="E20" s="31"/>
      <c r="F20" s="14" t="s">
        <v>23</v>
      </c>
      <c r="G20" s="174">
        <f>G21+G22</f>
        <v>9925.7129300000015</v>
      </c>
      <c r="H20" s="174">
        <f t="shared" ref="H20:L20" si="7">H21+H22</f>
        <v>12208.427900000001</v>
      </c>
      <c r="I20" s="174">
        <f t="shared" si="7"/>
        <v>14650.003479999999</v>
      </c>
      <c r="J20" s="174">
        <f t="shared" si="7"/>
        <v>16125.099999999999</v>
      </c>
      <c r="K20" s="174">
        <f t="shared" si="7"/>
        <v>17350.599999999999</v>
      </c>
      <c r="L20" s="174">
        <f t="shared" si="7"/>
        <v>18339.599999999999</v>
      </c>
    </row>
    <row r="21" spans="1:15" ht="45" x14ac:dyDescent="0.25">
      <c r="A21" s="10"/>
      <c r="B21" s="12"/>
      <c r="C21" s="10" t="s">
        <v>277</v>
      </c>
      <c r="D21" s="11" t="s">
        <v>275</v>
      </c>
      <c r="E21" s="19" t="s">
        <v>71</v>
      </c>
      <c r="F21" s="5" t="s">
        <v>24</v>
      </c>
      <c r="G21" s="175">
        <v>7038.9129300000004</v>
      </c>
      <c r="H21" s="175">
        <v>7745.6163800000004</v>
      </c>
      <c r="I21" s="175">
        <v>9294.6296559999992</v>
      </c>
      <c r="J21" s="175">
        <v>9994.7999999999993</v>
      </c>
      <c r="K21" s="175">
        <v>10754.5</v>
      </c>
      <c r="L21" s="175">
        <v>11367.5</v>
      </c>
    </row>
    <row r="22" spans="1:15" ht="75" x14ac:dyDescent="0.25">
      <c r="A22" s="10"/>
      <c r="B22" s="12"/>
      <c r="C22" s="10" t="s">
        <v>309</v>
      </c>
      <c r="D22" s="11" t="s">
        <v>308</v>
      </c>
      <c r="E22" s="19" t="s">
        <v>71</v>
      </c>
      <c r="F22" s="5" t="s">
        <v>25</v>
      </c>
      <c r="G22" s="175">
        <v>2886.8</v>
      </c>
      <c r="H22" s="175">
        <v>4462.8115200000002</v>
      </c>
      <c r="I22" s="175">
        <v>5355.3738240000002</v>
      </c>
      <c r="J22" s="175">
        <v>6130.3</v>
      </c>
      <c r="K22" s="175">
        <v>6596.1</v>
      </c>
      <c r="L22" s="175">
        <v>6972.1</v>
      </c>
    </row>
    <row r="23" spans="1:15" ht="60" x14ac:dyDescent="0.25">
      <c r="A23" s="10"/>
      <c r="B23" s="12"/>
      <c r="C23" s="10" t="s">
        <v>508</v>
      </c>
      <c r="D23" s="11" t="s">
        <v>509</v>
      </c>
      <c r="E23" s="19" t="s">
        <v>71</v>
      </c>
      <c r="F23" s="5" t="s">
        <v>26</v>
      </c>
      <c r="G23" s="175">
        <v>0</v>
      </c>
      <c r="H23" s="175">
        <v>-5.9270000000000003E-2</v>
      </c>
      <c r="I23" s="175">
        <f>H23</f>
        <v>-5.9270000000000003E-2</v>
      </c>
      <c r="J23" s="175">
        <v>0</v>
      </c>
      <c r="K23" s="175">
        <v>0</v>
      </c>
      <c r="L23" s="175">
        <v>0</v>
      </c>
    </row>
    <row r="24" spans="1:15" s="17" customFormat="1" ht="45" x14ac:dyDescent="0.25">
      <c r="A24" s="16"/>
      <c r="B24" s="15" t="s">
        <v>101</v>
      </c>
      <c r="C24" s="16" t="s">
        <v>85</v>
      </c>
      <c r="D24" s="15" t="s">
        <v>101</v>
      </c>
      <c r="E24" s="32"/>
      <c r="F24" s="14" t="s">
        <v>26</v>
      </c>
      <c r="G24" s="174">
        <f>G25+G26</f>
        <v>1706</v>
      </c>
      <c r="H24" s="174">
        <f>H25+H26</f>
        <v>1311.7102399999999</v>
      </c>
      <c r="I24" s="174">
        <f t="shared" ref="I24:L24" si="8">I25+I26</f>
        <v>1311.7102399999999</v>
      </c>
      <c r="J24" s="174">
        <f t="shared" si="8"/>
        <v>0</v>
      </c>
      <c r="K24" s="174">
        <f t="shared" si="8"/>
        <v>0</v>
      </c>
      <c r="L24" s="174">
        <f t="shared" si="8"/>
        <v>0</v>
      </c>
    </row>
    <row r="25" spans="1:15" ht="45" x14ac:dyDescent="0.25">
      <c r="A25" s="10"/>
      <c r="B25" s="10"/>
      <c r="C25" s="10" t="s">
        <v>84</v>
      </c>
      <c r="D25" s="11" t="s">
        <v>83</v>
      </c>
      <c r="E25" s="19" t="s">
        <v>71</v>
      </c>
      <c r="F25" s="14" t="s">
        <v>27</v>
      </c>
      <c r="G25" s="172">
        <v>1706</v>
      </c>
      <c r="H25" s="172">
        <v>1314.5408399999999</v>
      </c>
      <c r="I25" s="172">
        <v>1314.5408399999999</v>
      </c>
      <c r="J25" s="175">
        <v>0</v>
      </c>
      <c r="K25" s="175">
        <v>0</v>
      </c>
      <c r="L25" s="175">
        <v>0</v>
      </c>
    </row>
    <row r="26" spans="1:15" ht="60" x14ac:dyDescent="0.25">
      <c r="A26" s="10"/>
      <c r="B26" s="10"/>
      <c r="C26" s="10" t="s">
        <v>510</v>
      </c>
      <c r="D26" s="11" t="s">
        <v>511</v>
      </c>
      <c r="E26" s="19" t="s">
        <v>71</v>
      </c>
      <c r="F26" s="14"/>
      <c r="G26" s="172">
        <v>0</v>
      </c>
      <c r="H26" s="172">
        <v>-2.8306</v>
      </c>
      <c r="I26" s="172">
        <f>H26</f>
        <v>-2.8306</v>
      </c>
      <c r="J26" s="175">
        <v>0</v>
      </c>
      <c r="K26" s="175">
        <v>0</v>
      </c>
      <c r="L26" s="175">
        <v>0</v>
      </c>
    </row>
    <row r="27" spans="1:15" s="17" customFormat="1" ht="45" x14ac:dyDescent="0.25">
      <c r="A27" s="16"/>
      <c r="B27" s="15" t="s">
        <v>86</v>
      </c>
      <c r="C27" s="16" t="s">
        <v>87</v>
      </c>
      <c r="D27" s="15" t="s">
        <v>86</v>
      </c>
      <c r="E27" s="32"/>
      <c r="F27" s="14" t="s">
        <v>28</v>
      </c>
      <c r="G27" s="174">
        <f>G28</f>
        <v>66.2</v>
      </c>
      <c r="H27" s="174">
        <f t="shared" ref="H27:L27" si="9">H28</f>
        <v>1.7418199999999999</v>
      </c>
      <c r="I27" s="174">
        <f t="shared" si="9"/>
        <v>1.7418199999999999</v>
      </c>
      <c r="J27" s="174">
        <f t="shared" si="9"/>
        <v>35</v>
      </c>
      <c r="K27" s="174">
        <f t="shared" si="9"/>
        <v>35.75</v>
      </c>
      <c r="L27" s="174">
        <f t="shared" si="9"/>
        <v>36.450000000000003</v>
      </c>
    </row>
    <row r="28" spans="1:15" ht="45" x14ac:dyDescent="0.25">
      <c r="A28" s="10"/>
      <c r="B28" s="11"/>
      <c r="C28" s="10" t="s">
        <v>88</v>
      </c>
      <c r="D28" s="11" t="s">
        <v>86</v>
      </c>
      <c r="E28" s="19" t="s">
        <v>71</v>
      </c>
      <c r="F28" s="14" t="s">
        <v>29</v>
      </c>
      <c r="G28" s="172">
        <v>66.2</v>
      </c>
      <c r="H28" s="172">
        <v>1.7418199999999999</v>
      </c>
      <c r="I28" s="172">
        <f>H28</f>
        <v>1.7418199999999999</v>
      </c>
      <c r="J28" s="175">
        <v>35</v>
      </c>
      <c r="K28" s="172">
        <v>35.75</v>
      </c>
      <c r="L28" s="172">
        <v>36.450000000000003</v>
      </c>
    </row>
    <row r="29" spans="1:15" s="17" customFormat="1" ht="45" x14ac:dyDescent="0.25">
      <c r="A29" s="16"/>
      <c r="B29" s="15" t="s">
        <v>89</v>
      </c>
      <c r="C29" s="16" t="s">
        <v>90</v>
      </c>
      <c r="D29" s="15" t="s">
        <v>89</v>
      </c>
      <c r="E29" s="32"/>
      <c r="F29" s="14" t="s">
        <v>30</v>
      </c>
      <c r="G29" s="174">
        <f>G30</f>
        <v>1705.9</v>
      </c>
      <c r="H29" s="174">
        <f t="shared" ref="H29:L29" si="10">H30</f>
        <v>1632.3094900000001</v>
      </c>
      <c r="I29" s="174">
        <f t="shared" si="10"/>
        <v>1958.7713880000001</v>
      </c>
      <c r="J29" s="174">
        <f t="shared" si="10"/>
        <v>2350.5</v>
      </c>
      <c r="K29" s="174">
        <f t="shared" si="10"/>
        <v>2522.1</v>
      </c>
      <c r="L29" s="174">
        <f t="shared" si="10"/>
        <v>2706.2</v>
      </c>
    </row>
    <row r="30" spans="1:15" ht="45" x14ac:dyDescent="0.25">
      <c r="A30" s="10"/>
      <c r="B30" s="11"/>
      <c r="C30" s="10" t="s">
        <v>92</v>
      </c>
      <c r="D30" s="11" t="s">
        <v>91</v>
      </c>
      <c r="E30" s="19" t="s">
        <v>71</v>
      </c>
      <c r="F30" s="14" t="s">
        <v>31</v>
      </c>
      <c r="G30" s="172">
        <v>1705.9</v>
      </c>
      <c r="H30" s="172">
        <v>1632.3094900000001</v>
      </c>
      <c r="I30" s="172">
        <v>1958.7713880000001</v>
      </c>
      <c r="J30" s="172">
        <v>2350.5</v>
      </c>
      <c r="K30" s="172">
        <v>2522.1</v>
      </c>
      <c r="L30" s="172">
        <v>2706.2</v>
      </c>
    </row>
    <row r="31" spans="1:15" s="8" customFormat="1" ht="15.75" x14ac:dyDescent="0.25">
      <c r="A31" s="13"/>
      <c r="B31" s="12" t="s">
        <v>93</v>
      </c>
      <c r="C31" s="13" t="s">
        <v>97</v>
      </c>
      <c r="D31" s="12" t="s">
        <v>94</v>
      </c>
      <c r="E31" s="33"/>
      <c r="F31" s="14" t="s">
        <v>32</v>
      </c>
      <c r="G31" s="173">
        <f>G32+G34+G35</f>
        <v>1607.6999999999998</v>
      </c>
      <c r="H31" s="173">
        <f t="shared" ref="H31:L31" si="11">H32+H34+H35</f>
        <v>995.76981999999998</v>
      </c>
      <c r="I31" s="173">
        <f t="shared" si="11"/>
        <v>1283.6698200000001</v>
      </c>
      <c r="J31" s="173">
        <f t="shared" si="11"/>
        <v>1151.9000000000001</v>
      </c>
      <c r="K31" s="173">
        <f t="shared" si="11"/>
        <v>1197.5</v>
      </c>
      <c r="L31" s="173">
        <f t="shared" si="11"/>
        <v>1245</v>
      </c>
      <c r="M31" s="8">
        <v>1160</v>
      </c>
      <c r="N31" s="8">
        <v>1205.9000000000001</v>
      </c>
      <c r="O31" s="8">
        <v>1253.7</v>
      </c>
    </row>
    <row r="32" spans="1:15" s="17" customFormat="1" ht="60" x14ac:dyDescent="0.25">
      <c r="A32" s="16"/>
      <c r="B32" s="15" t="s">
        <v>95</v>
      </c>
      <c r="C32" s="16" t="s">
        <v>102</v>
      </c>
      <c r="D32" s="15" t="s">
        <v>95</v>
      </c>
      <c r="E32" s="32"/>
      <c r="F32" s="14" t="s">
        <v>33</v>
      </c>
      <c r="G32" s="174">
        <f>G33</f>
        <v>787.5</v>
      </c>
      <c r="H32" s="174">
        <f t="shared" ref="H32:L32" si="12">H33</f>
        <v>995.76981999999998</v>
      </c>
      <c r="I32" s="174">
        <f t="shared" si="12"/>
        <v>1283.6698200000001</v>
      </c>
      <c r="J32" s="174">
        <f t="shared" si="12"/>
        <v>1141.9000000000001</v>
      </c>
      <c r="K32" s="174">
        <f t="shared" si="12"/>
        <v>1186.0999999999999</v>
      </c>
      <c r="L32" s="174">
        <f t="shared" si="12"/>
        <v>1233.0999999999999</v>
      </c>
    </row>
    <row r="33" spans="1:15" ht="45" x14ac:dyDescent="0.25">
      <c r="A33" s="10"/>
      <c r="B33" s="11"/>
      <c r="C33" s="10" t="s">
        <v>96</v>
      </c>
      <c r="D33" s="11" t="s">
        <v>95</v>
      </c>
      <c r="E33" s="19" t="s">
        <v>71</v>
      </c>
      <c r="F33" s="14" t="s">
        <v>34</v>
      </c>
      <c r="G33" s="172">
        <v>787.5</v>
      </c>
      <c r="H33" s="172">
        <v>995.76981999999998</v>
      </c>
      <c r="I33" s="172">
        <v>1283.6698200000001</v>
      </c>
      <c r="J33" s="172">
        <v>1141.9000000000001</v>
      </c>
      <c r="K33" s="172">
        <v>1186.0999999999999</v>
      </c>
      <c r="L33" s="172">
        <v>1233.0999999999999</v>
      </c>
      <c r="O33" s="64">
        <f>O31-L31</f>
        <v>8.7000000000000455</v>
      </c>
    </row>
    <row r="34" spans="1:15" s="17" customFormat="1" ht="105" x14ac:dyDescent="0.25">
      <c r="A34" s="16"/>
      <c r="B34" s="15" t="s">
        <v>100</v>
      </c>
      <c r="C34" s="16" t="s">
        <v>99</v>
      </c>
      <c r="D34" s="15" t="s">
        <v>100</v>
      </c>
      <c r="E34" s="19" t="s">
        <v>310</v>
      </c>
      <c r="F34" s="14" t="s">
        <v>35</v>
      </c>
      <c r="G34" s="171">
        <v>54.3</v>
      </c>
      <c r="H34" s="171">
        <v>0</v>
      </c>
      <c r="I34" s="171">
        <v>0</v>
      </c>
      <c r="J34" s="171">
        <v>0</v>
      </c>
      <c r="K34" s="174">
        <v>0</v>
      </c>
      <c r="L34" s="174">
        <v>0</v>
      </c>
    </row>
    <row r="35" spans="1:15" s="17" customFormat="1" ht="90" x14ac:dyDescent="0.25">
      <c r="A35" s="16"/>
      <c r="B35" s="15" t="s">
        <v>103</v>
      </c>
      <c r="C35" s="16" t="s">
        <v>104</v>
      </c>
      <c r="D35" s="15" t="s">
        <v>103</v>
      </c>
      <c r="E35" s="21"/>
      <c r="F35" s="14" t="s">
        <v>36</v>
      </c>
      <c r="G35" s="174">
        <f>G39+G36+G37+G38</f>
        <v>765.9</v>
      </c>
      <c r="H35" s="174">
        <f t="shared" ref="H35:L35" si="13">H39+H36+H37+H38</f>
        <v>0</v>
      </c>
      <c r="I35" s="174">
        <f t="shared" si="13"/>
        <v>0</v>
      </c>
      <c r="J35" s="174">
        <f t="shared" si="13"/>
        <v>10</v>
      </c>
      <c r="K35" s="174">
        <f t="shared" si="13"/>
        <v>11.4</v>
      </c>
      <c r="L35" s="174">
        <f t="shared" si="13"/>
        <v>11.9</v>
      </c>
    </row>
    <row r="36" spans="1:15" ht="45" x14ac:dyDescent="0.25">
      <c r="A36" s="10"/>
      <c r="B36" s="11"/>
      <c r="C36" s="10" t="s">
        <v>107</v>
      </c>
      <c r="D36" s="11" t="s">
        <v>105</v>
      </c>
      <c r="E36" s="19" t="s">
        <v>106</v>
      </c>
      <c r="F36" s="14" t="s">
        <v>37</v>
      </c>
      <c r="G36" s="172">
        <v>547.6</v>
      </c>
      <c r="H36" s="172">
        <v>0</v>
      </c>
      <c r="I36" s="172">
        <v>0</v>
      </c>
      <c r="J36" s="172">
        <v>0</v>
      </c>
      <c r="K36" s="175">
        <v>0</v>
      </c>
      <c r="L36" s="175">
        <v>0</v>
      </c>
    </row>
    <row r="37" spans="1:15" ht="30" x14ac:dyDescent="0.25">
      <c r="A37" s="10"/>
      <c r="B37" s="11"/>
      <c r="C37" s="10" t="s">
        <v>109</v>
      </c>
      <c r="D37" s="11" t="s">
        <v>108</v>
      </c>
      <c r="E37" s="19" t="s">
        <v>98</v>
      </c>
      <c r="F37" s="14" t="s">
        <v>38</v>
      </c>
      <c r="G37" s="172">
        <v>61.6</v>
      </c>
      <c r="H37" s="172">
        <v>0</v>
      </c>
      <c r="I37" s="172">
        <v>0</v>
      </c>
      <c r="J37" s="172">
        <v>0</v>
      </c>
      <c r="K37" s="175">
        <v>0</v>
      </c>
      <c r="L37" s="175">
        <v>0</v>
      </c>
    </row>
    <row r="38" spans="1:15" ht="105" x14ac:dyDescent="0.25">
      <c r="A38" s="10"/>
      <c r="B38" s="11"/>
      <c r="C38" s="10" t="s">
        <v>111</v>
      </c>
      <c r="D38" s="11" t="s">
        <v>110</v>
      </c>
      <c r="E38" s="19" t="s">
        <v>98</v>
      </c>
      <c r="F38" s="14" t="s">
        <v>39</v>
      </c>
      <c r="G38" s="172">
        <v>150.4</v>
      </c>
      <c r="H38" s="172">
        <v>0</v>
      </c>
      <c r="I38" s="172">
        <v>0</v>
      </c>
      <c r="J38" s="172">
        <v>0</v>
      </c>
      <c r="K38" s="175">
        <v>0</v>
      </c>
      <c r="L38" s="175">
        <v>0</v>
      </c>
    </row>
    <row r="39" spans="1:15" ht="60" x14ac:dyDescent="0.25">
      <c r="A39" s="10"/>
      <c r="B39" s="11"/>
      <c r="C39" s="10" t="s">
        <v>311</v>
      </c>
      <c r="D39" s="11" t="s">
        <v>312</v>
      </c>
      <c r="E39" s="19" t="s">
        <v>313</v>
      </c>
      <c r="F39" s="14" t="s">
        <v>279</v>
      </c>
      <c r="G39" s="172">
        <v>6.3</v>
      </c>
      <c r="H39" s="172">
        <v>0</v>
      </c>
      <c r="I39" s="172">
        <v>0</v>
      </c>
      <c r="J39" s="172">
        <v>10</v>
      </c>
      <c r="K39" s="175">
        <v>11.4</v>
      </c>
      <c r="L39" s="175">
        <v>11.9</v>
      </c>
    </row>
    <row r="40" spans="1:15" s="8" customFormat="1" ht="29.25" x14ac:dyDescent="0.25">
      <c r="A40" s="119"/>
      <c r="B40" s="120" t="s">
        <v>112</v>
      </c>
      <c r="C40" s="119"/>
      <c r="D40" s="120"/>
      <c r="E40" s="121"/>
      <c r="F40" s="122" t="s">
        <v>40</v>
      </c>
      <c r="G40" s="176">
        <f t="shared" ref="G40:L40" si="14">G41+G51+G56+G68+G78+G117</f>
        <v>23606.962640000002</v>
      </c>
      <c r="H40" s="176">
        <f t="shared" si="14"/>
        <v>17878.47525</v>
      </c>
      <c r="I40" s="176">
        <f t="shared" si="14"/>
        <v>22729.775439999998</v>
      </c>
      <c r="J40" s="176">
        <f t="shared" si="14"/>
        <v>21080.799999999999</v>
      </c>
      <c r="K40" s="176">
        <f t="shared" si="14"/>
        <v>21806.6</v>
      </c>
      <c r="L40" s="176">
        <f t="shared" si="14"/>
        <v>22569.800000000003</v>
      </c>
    </row>
    <row r="41" spans="1:15" s="8" customFormat="1" ht="72" x14ac:dyDescent="0.25">
      <c r="A41" s="13"/>
      <c r="B41" s="12" t="s">
        <v>113</v>
      </c>
      <c r="C41" s="13" t="s">
        <v>114</v>
      </c>
      <c r="D41" s="12" t="s">
        <v>115</v>
      </c>
      <c r="E41" s="20"/>
      <c r="F41" s="14" t="s">
        <v>244</v>
      </c>
      <c r="G41" s="173">
        <f t="shared" ref="G41:L41" si="15">G42+G47+G49</f>
        <v>9050.7000000000007</v>
      </c>
      <c r="H41" s="173">
        <f>H42+H47+H49</f>
        <v>7068.9907400000002</v>
      </c>
      <c r="I41" s="173">
        <f>I42+I47+I49</f>
        <v>9281.9907399999993</v>
      </c>
      <c r="J41" s="173">
        <f t="shared" si="15"/>
        <v>9763.1</v>
      </c>
      <c r="K41" s="173">
        <f t="shared" si="15"/>
        <v>10153.6</v>
      </c>
      <c r="L41" s="173">
        <f t="shared" si="15"/>
        <v>10559.7</v>
      </c>
    </row>
    <row r="42" spans="1:15" s="17" customFormat="1" ht="90" x14ac:dyDescent="0.25">
      <c r="A42" s="16"/>
      <c r="B42" s="15" t="s">
        <v>130</v>
      </c>
      <c r="C42" s="16" t="s">
        <v>131</v>
      </c>
      <c r="D42" s="15" t="s">
        <v>130</v>
      </c>
      <c r="E42" s="21"/>
      <c r="F42" s="14" t="s">
        <v>245</v>
      </c>
      <c r="G42" s="174">
        <f>G43+G45+G44+G46</f>
        <v>9049.6</v>
      </c>
      <c r="H42" s="174">
        <f t="shared" ref="H42:L42" si="16">H43+H45+H44+H46</f>
        <v>6862.5207399999999</v>
      </c>
      <c r="I42" s="174">
        <f>I43+I45+I44+I46</f>
        <v>9075.5207399999999</v>
      </c>
      <c r="J42" s="174">
        <f t="shared" si="16"/>
        <v>9762.1</v>
      </c>
      <c r="K42" s="174">
        <f t="shared" si="16"/>
        <v>10152.6</v>
      </c>
      <c r="L42" s="174">
        <f t="shared" si="16"/>
        <v>10558.7</v>
      </c>
    </row>
    <row r="43" spans="1:15" ht="105" x14ac:dyDescent="0.25">
      <c r="A43" s="10"/>
      <c r="B43" s="11"/>
      <c r="C43" s="10" t="s">
        <v>512</v>
      </c>
      <c r="D43" s="11" t="s">
        <v>116</v>
      </c>
      <c r="E43" s="19" t="s">
        <v>314</v>
      </c>
      <c r="F43" s="14" t="s">
        <v>41</v>
      </c>
      <c r="G43" s="172">
        <v>3240.8</v>
      </c>
      <c r="H43" s="172">
        <v>2321.4396900000002</v>
      </c>
      <c r="I43" s="172">
        <v>3103.5396900000001</v>
      </c>
      <c r="J43" s="172">
        <f>3910.3-J45</f>
        <v>3632.3</v>
      </c>
      <c r="K43" s="172">
        <v>3767.6</v>
      </c>
      <c r="L43" s="172">
        <v>3928.7</v>
      </c>
      <c r="M43" s="64">
        <f>SUM(I43:I44)</f>
        <v>3378.7639100000001</v>
      </c>
    </row>
    <row r="44" spans="1:15" ht="105" x14ac:dyDescent="0.25">
      <c r="A44" s="10"/>
      <c r="B44" s="11"/>
      <c r="C44" s="10" t="s">
        <v>513</v>
      </c>
      <c r="D44" s="11" t="s">
        <v>126</v>
      </c>
      <c r="E44" s="19" t="s">
        <v>117</v>
      </c>
      <c r="F44" s="14" t="s">
        <v>42</v>
      </c>
      <c r="G44" s="172">
        <v>243.8</v>
      </c>
      <c r="H44" s="172">
        <v>219.92421999999999</v>
      </c>
      <c r="I44" s="172">
        <v>275.22422</v>
      </c>
      <c r="J44" s="172">
        <v>298.3</v>
      </c>
      <c r="K44" s="172">
        <v>320.3</v>
      </c>
      <c r="L44" s="172">
        <v>322.7</v>
      </c>
    </row>
    <row r="45" spans="1:15" ht="75" x14ac:dyDescent="0.25">
      <c r="A45" s="10"/>
      <c r="B45" s="11"/>
      <c r="C45" s="10" t="s">
        <v>121</v>
      </c>
      <c r="D45" s="11" t="s">
        <v>120</v>
      </c>
      <c r="E45" s="19" t="s">
        <v>314</v>
      </c>
      <c r="F45" s="14" t="s">
        <v>43</v>
      </c>
      <c r="G45" s="172">
        <v>260</v>
      </c>
      <c r="H45" s="172">
        <v>124.48963999999999</v>
      </c>
      <c r="I45" s="172">
        <v>182.08964</v>
      </c>
      <c r="J45" s="172">
        <v>278</v>
      </c>
      <c r="K45" s="172">
        <v>289.10000000000002</v>
      </c>
      <c r="L45" s="172">
        <v>300.7</v>
      </c>
    </row>
    <row r="46" spans="1:15" ht="90" x14ac:dyDescent="0.25">
      <c r="A46" s="10"/>
      <c r="B46" s="11"/>
      <c r="C46" s="10" t="s">
        <v>315</v>
      </c>
      <c r="D46" s="11" t="s">
        <v>243</v>
      </c>
      <c r="E46" s="19" t="s">
        <v>314</v>
      </c>
      <c r="F46" s="14" t="s">
        <v>44</v>
      </c>
      <c r="G46" s="172">
        <v>5305</v>
      </c>
      <c r="H46" s="172">
        <v>4196.6671900000001</v>
      </c>
      <c r="I46" s="172">
        <v>5514.6671900000001</v>
      </c>
      <c r="J46" s="172">
        <v>5553.5</v>
      </c>
      <c r="K46" s="172">
        <v>5775.6</v>
      </c>
      <c r="L46" s="172">
        <v>6006.6</v>
      </c>
    </row>
    <row r="47" spans="1:15" s="17" customFormat="1" ht="60" x14ac:dyDescent="0.25">
      <c r="A47" s="16"/>
      <c r="B47" s="15" t="s">
        <v>132</v>
      </c>
      <c r="C47" s="16" t="s">
        <v>133</v>
      </c>
      <c r="D47" s="15" t="s">
        <v>132</v>
      </c>
      <c r="E47" s="21"/>
      <c r="F47" s="14" t="s">
        <v>45</v>
      </c>
      <c r="G47" s="171">
        <f>G48</f>
        <v>0.5</v>
      </c>
      <c r="H47" s="171">
        <f t="shared" ref="H47:L47" si="17">H48</f>
        <v>205.67</v>
      </c>
      <c r="I47" s="171">
        <f t="shared" si="17"/>
        <v>205.67</v>
      </c>
      <c r="J47" s="171">
        <f t="shared" si="17"/>
        <v>0.4</v>
      </c>
      <c r="K47" s="171">
        <f t="shared" si="17"/>
        <v>0.4</v>
      </c>
      <c r="L47" s="171">
        <f t="shared" si="17"/>
        <v>0.4</v>
      </c>
    </row>
    <row r="48" spans="1:15" ht="75" x14ac:dyDescent="0.25">
      <c r="A48" s="10"/>
      <c r="B48" s="11"/>
      <c r="C48" s="10" t="s">
        <v>123</v>
      </c>
      <c r="D48" s="11" t="s">
        <v>122</v>
      </c>
      <c r="E48" s="19" t="s">
        <v>119</v>
      </c>
      <c r="F48" s="14" t="s">
        <v>605</v>
      </c>
      <c r="G48" s="172">
        <v>0.5</v>
      </c>
      <c r="H48" s="172">
        <v>205.67</v>
      </c>
      <c r="I48" s="172">
        <v>205.67</v>
      </c>
      <c r="J48" s="172">
        <v>0.4</v>
      </c>
      <c r="K48" s="172">
        <v>0.4</v>
      </c>
      <c r="L48" s="172">
        <v>0.4</v>
      </c>
    </row>
    <row r="49" spans="1:13" s="17" customFormat="1" ht="90" x14ac:dyDescent="0.25">
      <c r="A49" s="16"/>
      <c r="B49" s="15" t="s">
        <v>134</v>
      </c>
      <c r="C49" s="16" t="s">
        <v>135</v>
      </c>
      <c r="D49" s="15" t="s">
        <v>134</v>
      </c>
      <c r="E49" s="21"/>
      <c r="F49" s="14" t="s">
        <v>606</v>
      </c>
      <c r="G49" s="171">
        <f>G50</f>
        <v>0.6</v>
      </c>
      <c r="H49" s="171">
        <f t="shared" ref="H49:L49" si="18">H50</f>
        <v>0.8</v>
      </c>
      <c r="I49" s="171">
        <f t="shared" si="18"/>
        <v>0.8</v>
      </c>
      <c r="J49" s="171">
        <f t="shared" si="18"/>
        <v>0.6</v>
      </c>
      <c r="K49" s="171">
        <f t="shared" si="18"/>
        <v>0.6</v>
      </c>
      <c r="L49" s="171">
        <f t="shared" si="18"/>
        <v>0.6</v>
      </c>
    </row>
    <row r="50" spans="1:13" ht="105" x14ac:dyDescent="0.25">
      <c r="A50" s="10"/>
      <c r="B50" s="11"/>
      <c r="C50" s="10" t="s">
        <v>125</v>
      </c>
      <c r="D50" s="11" t="s">
        <v>124</v>
      </c>
      <c r="E50" s="19" t="s">
        <v>119</v>
      </c>
      <c r="F50" s="14" t="s">
        <v>46</v>
      </c>
      <c r="G50" s="175">
        <v>0.6</v>
      </c>
      <c r="H50" s="175">
        <v>0.8</v>
      </c>
      <c r="I50" s="175">
        <v>0.8</v>
      </c>
      <c r="J50" s="175">
        <v>0.6</v>
      </c>
      <c r="K50" s="175">
        <v>0.6</v>
      </c>
      <c r="L50" s="175">
        <v>0.6</v>
      </c>
    </row>
    <row r="51" spans="1:13" s="8" customFormat="1" ht="29.25" x14ac:dyDescent="0.25">
      <c r="A51" s="13"/>
      <c r="B51" s="12" t="s">
        <v>127</v>
      </c>
      <c r="C51" s="13" t="s">
        <v>128</v>
      </c>
      <c r="D51" s="12" t="s">
        <v>129</v>
      </c>
      <c r="E51" s="20"/>
      <c r="F51" s="14" t="s">
        <v>47</v>
      </c>
      <c r="G51" s="173">
        <f>G52</f>
        <v>72.400000000000006</v>
      </c>
      <c r="H51" s="173">
        <f t="shared" ref="H51:L51" si="19">H52</f>
        <v>54.475160000000002</v>
      </c>
      <c r="I51" s="173">
        <f t="shared" si="19"/>
        <v>56.875160000000001</v>
      </c>
      <c r="J51" s="173">
        <f t="shared" si="19"/>
        <v>66.099999999999994</v>
      </c>
      <c r="K51" s="173">
        <f t="shared" si="19"/>
        <v>68.7</v>
      </c>
      <c r="L51" s="173">
        <f t="shared" si="19"/>
        <v>71.400000000000006</v>
      </c>
    </row>
    <row r="52" spans="1:13" s="17" customFormat="1" ht="45" x14ac:dyDescent="0.25">
      <c r="A52" s="16"/>
      <c r="B52" s="15" t="s">
        <v>139</v>
      </c>
      <c r="C52" s="16" t="s">
        <v>140</v>
      </c>
      <c r="D52" s="15" t="s">
        <v>139</v>
      </c>
      <c r="E52" s="21"/>
      <c r="F52" s="14" t="s">
        <v>48</v>
      </c>
      <c r="G52" s="174">
        <f>G53+G54+G55</f>
        <v>72.400000000000006</v>
      </c>
      <c r="H52" s="174">
        <f t="shared" ref="H52:L52" si="20">H53+H54+H55</f>
        <v>54.475160000000002</v>
      </c>
      <c r="I52" s="174">
        <f t="shared" si="20"/>
        <v>56.875160000000001</v>
      </c>
      <c r="J52" s="174">
        <f t="shared" si="20"/>
        <v>66.099999999999994</v>
      </c>
      <c r="K52" s="174">
        <f t="shared" si="20"/>
        <v>68.7</v>
      </c>
      <c r="L52" s="174">
        <f t="shared" si="20"/>
        <v>71.400000000000006</v>
      </c>
    </row>
    <row r="53" spans="1:13" ht="45" x14ac:dyDescent="0.25">
      <c r="A53" s="10"/>
      <c r="B53" s="11"/>
      <c r="C53" s="10" t="s">
        <v>143</v>
      </c>
      <c r="D53" s="11" t="s">
        <v>141</v>
      </c>
      <c r="E53" s="19" t="s">
        <v>142</v>
      </c>
      <c r="F53" s="14" t="s">
        <v>280</v>
      </c>
      <c r="G53" s="172">
        <v>37.5</v>
      </c>
      <c r="H53" s="172">
        <v>44.418640000000003</v>
      </c>
      <c r="I53" s="172">
        <v>46.418640000000003</v>
      </c>
      <c r="J53" s="172">
        <v>57.4</v>
      </c>
      <c r="K53" s="175">
        <v>59.6</v>
      </c>
      <c r="L53" s="175">
        <v>62</v>
      </c>
    </row>
    <row r="54" spans="1:13" ht="45" x14ac:dyDescent="0.25">
      <c r="A54" s="10"/>
      <c r="B54" s="11"/>
      <c r="C54" s="10" t="s">
        <v>146</v>
      </c>
      <c r="D54" s="11" t="s">
        <v>144</v>
      </c>
      <c r="E54" s="19" t="s">
        <v>142</v>
      </c>
      <c r="F54" s="14" t="s">
        <v>49</v>
      </c>
      <c r="G54" s="172">
        <v>11.5</v>
      </c>
      <c r="H54" s="172">
        <v>0</v>
      </c>
      <c r="I54" s="172"/>
      <c r="J54" s="172">
        <v>0</v>
      </c>
      <c r="K54" s="175">
        <v>0</v>
      </c>
      <c r="L54" s="175">
        <v>0</v>
      </c>
    </row>
    <row r="55" spans="1:13" ht="45" x14ac:dyDescent="0.25">
      <c r="A55" s="10"/>
      <c r="B55" s="11"/>
      <c r="C55" s="10" t="s">
        <v>236</v>
      </c>
      <c r="D55" s="11" t="s">
        <v>145</v>
      </c>
      <c r="E55" s="19" t="s">
        <v>142</v>
      </c>
      <c r="F55" s="14" t="s">
        <v>607</v>
      </c>
      <c r="G55" s="172">
        <v>23.4</v>
      </c>
      <c r="H55" s="172">
        <v>10.056520000000001</v>
      </c>
      <c r="I55" s="172">
        <v>10.456519999999999</v>
      </c>
      <c r="J55" s="172">
        <v>8.6999999999999993</v>
      </c>
      <c r="K55" s="172">
        <v>9.1</v>
      </c>
      <c r="L55" s="172">
        <v>9.4</v>
      </c>
    </row>
    <row r="56" spans="1:13" s="8" customFormat="1" ht="57.75" x14ac:dyDescent="0.25">
      <c r="A56" s="13"/>
      <c r="B56" s="12" t="s">
        <v>147</v>
      </c>
      <c r="C56" s="13" t="s">
        <v>149</v>
      </c>
      <c r="D56" s="12" t="s">
        <v>148</v>
      </c>
      <c r="E56" s="20"/>
      <c r="F56" s="14" t="s">
        <v>50</v>
      </c>
      <c r="G56" s="173">
        <f>G57+G61</f>
        <v>13263.06264</v>
      </c>
      <c r="H56" s="173">
        <f t="shared" ref="H56:L56" si="21">H57+H61</f>
        <v>9035.3397999999997</v>
      </c>
      <c r="I56" s="173">
        <f t="shared" si="21"/>
        <v>11480.8398</v>
      </c>
      <c r="J56" s="173">
        <f t="shared" si="21"/>
        <v>10028.5</v>
      </c>
      <c r="K56" s="173">
        <f t="shared" si="21"/>
        <v>10429.6</v>
      </c>
      <c r="L56" s="173">
        <f t="shared" si="21"/>
        <v>10846.800000000001</v>
      </c>
    </row>
    <row r="57" spans="1:13" s="17" customFormat="1" ht="30" x14ac:dyDescent="0.25">
      <c r="A57" s="16"/>
      <c r="B57" s="15" t="s">
        <v>150</v>
      </c>
      <c r="C57" s="16" t="s">
        <v>151</v>
      </c>
      <c r="D57" s="15" t="s">
        <v>150</v>
      </c>
      <c r="E57" s="21"/>
      <c r="F57" s="14" t="s">
        <v>51</v>
      </c>
      <c r="G57" s="174">
        <f>G58+G59+G60</f>
        <v>12785.2</v>
      </c>
      <c r="H57" s="174">
        <f t="shared" ref="H57:L57" si="22">H58+H59+H60</f>
        <v>8404.9297399999996</v>
      </c>
      <c r="I57" s="174">
        <f t="shared" si="22"/>
        <v>10822.42974</v>
      </c>
      <c r="J57" s="174">
        <f t="shared" si="22"/>
        <v>9789.5</v>
      </c>
      <c r="K57" s="174">
        <f t="shared" si="22"/>
        <v>10181.1</v>
      </c>
      <c r="L57" s="174">
        <f t="shared" si="22"/>
        <v>10588.400000000001</v>
      </c>
    </row>
    <row r="58" spans="1:13" ht="64.5" customHeight="1" x14ac:dyDescent="0.25">
      <c r="A58" s="10"/>
      <c r="B58" s="11"/>
      <c r="C58" s="10" t="s">
        <v>153</v>
      </c>
      <c r="D58" s="11" t="s">
        <v>152</v>
      </c>
      <c r="E58" s="19" t="s">
        <v>318</v>
      </c>
      <c r="F58" s="14" t="s">
        <v>52</v>
      </c>
      <c r="G58" s="172">
        <v>10315.200000000001</v>
      </c>
      <c r="H58" s="172">
        <v>6249.3597399999999</v>
      </c>
      <c r="I58" s="172">
        <v>8286.8597399999999</v>
      </c>
      <c r="J58" s="172">
        <v>7962.5</v>
      </c>
      <c r="K58" s="175">
        <v>8281</v>
      </c>
      <c r="L58" s="175">
        <v>8612.2000000000007</v>
      </c>
    </row>
    <row r="59" spans="1:13" ht="78" customHeight="1" x14ac:dyDescent="0.25">
      <c r="A59" s="10"/>
      <c r="B59" s="11"/>
      <c r="C59" s="10" t="s">
        <v>316</v>
      </c>
      <c r="D59" s="11" t="s">
        <v>152</v>
      </c>
      <c r="E59" s="19" t="s">
        <v>317</v>
      </c>
      <c r="F59" s="14" t="s">
        <v>53</v>
      </c>
      <c r="G59" s="172">
        <v>2425</v>
      </c>
      <c r="H59" s="172">
        <v>2075.17</v>
      </c>
      <c r="I59" s="172">
        <v>2450.17</v>
      </c>
      <c r="J59" s="172">
        <v>1777</v>
      </c>
      <c r="K59" s="175">
        <v>1848.1</v>
      </c>
      <c r="L59" s="175">
        <v>1922.1</v>
      </c>
    </row>
    <row r="60" spans="1:13" ht="60" x14ac:dyDescent="0.25">
      <c r="A60" s="10"/>
      <c r="B60" s="11"/>
      <c r="C60" s="10" t="s">
        <v>319</v>
      </c>
      <c r="D60" s="11" t="s">
        <v>152</v>
      </c>
      <c r="E60" s="19" t="s">
        <v>313</v>
      </c>
      <c r="F60" s="14" t="s">
        <v>281</v>
      </c>
      <c r="G60" s="172">
        <v>45</v>
      </c>
      <c r="H60" s="172">
        <v>80.400000000000006</v>
      </c>
      <c r="I60" s="172">
        <v>85.4</v>
      </c>
      <c r="J60" s="172">
        <v>50</v>
      </c>
      <c r="K60" s="175">
        <v>52</v>
      </c>
      <c r="L60" s="175">
        <v>54.1</v>
      </c>
    </row>
    <row r="61" spans="1:13" s="17" customFormat="1" ht="30" x14ac:dyDescent="0.25">
      <c r="A61" s="16"/>
      <c r="B61" s="15" t="s">
        <v>155</v>
      </c>
      <c r="C61" s="16" t="s">
        <v>156</v>
      </c>
      <c r="D61" s="15" t="s">
        <v>155</v>
      </c>
      <c r="E61" s="21"/>
      <c r="F61" s="14" t="s">
        <v>54</v>
      </c>
      <c r="G61" s="174">
        <f>G62+G65</f>
        <v>477.86264</v>
      </c>
      <c r="H61" s="174">
        <f t="shared" ref="H61:L61" si="23">H62+H65</f>
        <v>630.41006000000004</v>
      </c>
      <c r="I61" s="174">
        <f>I62+I65</f>
        <v>658.41006000000004</v>
      </c>
      <c r="J61" s="174">
        <f t="shared" si="23"/>
        <v>239</v>
      </c>
      <c r="K61" s="174">
        <f t="shared" si="23"/>
        <v>248.5</v>
      </c>
      <c r="L61" s="174">
        <f t="shared" si="23"/>
        <v>258.39999999999998</v>
      </c>
    </row>
    <row r="62" spans="1:13" s="8" customFormat="1" ht="43.5" x14ac:dyDescent="0.25">
      <c r="A62" s="13"/>
      <c r="B62" s="12"/>
      <c r="C62" s="13" t="s">
        <v>557</v>
      </c>
      <c r="D62" s="12" t="s">
        <v>560</v>
      </c>
      <c r="E62" s="20"/>
      <c r="F62" s="14" t="s">
        <v>55</v>
      </c>
      <c r="G62" s="173">
        <f>G63+G64</f>
        <v>203.39999999999998</v>
      </c>
      <c r="H62" s="173">
        <f t="shared" ref="H62:L62" si="24">H63+H64</f>
        <v>151.38942</v>
      </c>
      <c r="I62" s="173">
        <f t="shared" si="24"/>
        <v>179.38942</v>
      </c>
      <c r="J62" s="173">
        <f t="shared" si="24"/>
        <v>239</v>
      </c>
      <c r="K62" s="173">
        <f t="shared" si="24"/>
        <v>248.5</v>
      </c>
      <c r="L62" s="173">
        <f t="shared" si="24"/>
        <v>258.39999999999998</v>
      </c>
    </row>
    <row r="63" spans="1:13" ht="78.75" customHeight="1" x14ac:dyDescent="0.25">
      <c r="A63" s="10"/>
      <c r="B63" s="11"/>
      <c r="C63" s="10" t="s">
        <v>320</v>
      </c>
      <c r="D63" s="11" t="s">
        <v>321</v>
      </c>
      <c r="E63" s="151" t="s">
        <v>317</v>
      </c>
      <c r="F63" s="14" t="s">
        <v>56</v>
      </c>
      <c r="G63" s="175">
        <v>131.6</v>
      </c>
      <c r="H63" s="175">
        <v>110.28994</v>
      </c>
      <c r="I63" s="175">
        <v>126.48994</v>
      </c>
      <c r="J63" s="175">
        <v>198</v>
      </c>
      <c r="K63" s="175">
        <v>205.9</v>
      </c>
      <c r="L63" s="175">
        <v>214.1</v>
      </c>
      <c r="M63" t="s">
        <v>551</v>
      </c>
    </row>
    <row r="64" spans="1:13" ht="60" x14ac:dyDescent="0.25">
      <c r="A64" s="10"/>
      <c r="B64" s="11"/>
      <c r="C64" s="10" t="s">
        <v>322</v>
      </c>
      <c r="D64" s="11" t="s">
        <v>321</v>
      </c>
      <c r="E64" s="151" t="s">
        <v>313</v>
      </c>
      <c r="F64" s="14" t="s">
        <v>57</v>
      </c>
      <c r="G64" s="175">
        <v>71.8</v>
      </c>
      <c r="H64" s="175">
        <v>41.09948</v>
      </c>
      <c r="I64" s="175">
        <v>52.899479999999997</v>
      </c>
      <c r="J64" s="175">
        <v>41</v>
      </c>
      <c r="K64" s="175">
        <v>42.6</v>
      </c>
      <c r="L64" s="175">
        <v>44.3</v>
      </c>
      <c r="M64" t="s">
        <v>552</v>
      </c>
    </row>
    <row r="65" spans="1:16" s="8" customFormat="1" ht="15.75" x14ac:dyDescent="0.25">
      <c r="A65" s="13"/>
      <c r="B65" s="12"/>
      <c r="C65" s="13" t="s">
        <v>558</v>
      </c>
      <c r="D65" s="12" t="s">
        <v>559</v>
      </c>
      <c r="E65" s="152"/>
      <c r="F65" s="14" t="s">
        <v>58</v>
      </c>
      <c r="G65" s="173">
        <f>G66+G67</f>
        <v>274.46264000000002</v>
      </c>
      <c r="H65" s="173">
        <f t="shared" ref="H65:L65" si="25">H66+H67</f>
        <v>479.02064000000001</v>
      </c>
      <c r="I65" s="173">
        <f t="shared" si="25"/>
        <v>479.02064000000001</v>
      </c>
      <c r="J65" s="173">
        <f t="shared" si="25"/>
        <v>0</v>
      </c>
      <c r="K65" s="173">
        <f t="shared" si="25"/>
        <v>0</v>
      </c>
      <c r="L65" s="173">
        <f t="shared" si="25"/>
        <v>0</v>
      </c>
    </row>
    <row r="66" spans="1:16" ht="80.25" customHeight="1" x14ac:dyDescent="0.25">
      <c r="A66" s="10"/>
      <c r="B66" s="11"/>
      <c r="C66" s="10" t="s">
        <v>514</v>
      </c>
      <c r="D66" s="11" t="s">
        <v>154</v>
      </c>
      <c r="E66" s="151" t="s">
        <v>317</v>
      </c>
      <c r="F66" s="14" t="s">
        <v>59</v>
      </c>
      <c r="G66" s="175">
        <v>0</v>
      </c>
      <c r="H66" s="175">
        <v>204.30799999999999</v>
      </c>
      <c r="I66" s="175">
        <f>H66</f>
        <v>204.30799999999999</v>
      </c>
      <c r="J66" s="175">
        <v>0</v>
      </c>
      <c r="K66" s="175">
        <v>0</v>
      </c>
      <c r="L66" s="175">
        <v>0</v>
      </c>
    </row>
    <row r="67" spans="1:16" ht="60" x14ac:dyDescent="0.25">
      <c r="A67" s="10"/>
      <c r="B67" s="11"/>
      <c r="C67" s="10" t="s">
        <v>323</v>
      </c>
      <c r="D67" s="11" t="s">
        <v>154</v>
      </c>
      <c r="E67" s="151" t="s">
        <v>313</v>
      </c>
      <c r="F67" s="14" t="s">
        <v>60</v>
      </c>
      <c r="G67" s="175">
        <v>274.46264000000002</v>
      </c>
      <c r="H67" s="175">
        <v>274.71264000000002</v>
      </c>
      <c r="I67" s="175">
        <v>274.71264000000002</v>
      </c>
      <c r="J67" s="175">
        <v>0</v>
      </c>
      <c r="K67" s="175">
        <v>0</v>
      </c>
      <c r="L67" s="175">
        <v>0</v>
      </c>
      <c r="M67" s="127"/>
    </row>
    <row r="68" spans="1:16" s="8" customFormat="1" ht="43.5" x14ac:dyDescent="0.25">
      <c r="A68" s="13"/>
      <c r="B68" s="12" t="s">
        <v>157</v>
      </c>
      <c r="C68" s="13" t="s">
        <v>159</v>
      </c>
      <c r="D68" s="12" t="s">
        <v>158</v>
      </c>
      <c r="E68" s="152"/>
      <c r="F68" s="14" t="s">
        <v>61</v>
      </c>
      <c r="G68" s="173">
        <f>G69+G76</f>
        <v>1090</v>
      </c>
      <c r="H68" s="173">
        <f t="shared" ref="H68:L68" si="26">H69+H76</f>
        <v>1111.567</v>
      </c>
      <c r="I68" s="173">
        <f>I69+I76</f>
        <v>1291.567</v>
      </c>
      <c r="J68" s="173">
        <f t="shared" si="26"/>
        <v>867.6</v>
      </c>
      <c r="K68" s="173">
        <f t="shared" si="26"/>
        <v>785</v>
      </c>
      <c r="L68" s="173">
        <f t="shared" si="26"/>
        <v>707.4</v>
      </c>
    </row>
    <row r="69" spans="1:16" s="17" customFormat="1" ht="90" x14ac:dyDescent="0.25">
      <c r="A69" s="16"/>
      <c r="B69" s="15" t="s">
        <v>161</v>
      </c>
      <c r="C69" s="16" t="s">
        <v>160</v>
      </c>
      <c r="D69" s="15" t="s">
        <v>161</v>
      </c>
      <c r="E69" s="21"/>
      <c r="F69" s="14" t="s">
        <v>62</v>
      </c>
      <c r="G69" s="174">
        <f>G70+G73</f>
        <v>1010</v>
      </c>
      <c r="H69" s="174">
        <f t="shared" ref="H69:L69" si="27">H70+H73</f>
        <v>533.88709999999992</v>
      </c>
      <c r="I69" s="174">
        <f t="shared" si="27"/>
        <v>713.88709999999992</v>
      </c>
      <c r="J69" s="174">
        <f t="shared" si="27"/>
        <v>717.6</v>
      </c>
      <c r="K69" s="174">
        <f t="shared" si="27"/>
        <v>650</v>
      </c>
      <c r="L69" s="174">
        <f t="shared" si="27"/>
        <v>585.9</v>
      </c>
    </row>
    <row r="70" spans="1:16" s="8" customFormat="1" ht="43.5" x14ac:dyDescent="0.25">
      <c r="A70" s="13"/>
      <c r="B70" s="12"/>
      <c r="C70" s="13" t="s">
        <v>561</v>
      </c>
      <c r="D70" s="12" t="s">
        <v>562</v>
      </c>
      <c r="E70" s="20"/>
      <c r="F70" s="14" t="s">
        <v>246</v>
      </c>
      <c r="G70" s="173">
        <f>G71+G72</f>
        <v>900</v>
      </c>
      <c r="H70" s="173">
        <f t="shared" ref="H70:L70" si="28">H71+H72</f>
        <v>337.49027999999998</v>
      </c>
      <c r="I70" s="173">
        <f t="shared" si="28"/>
        <v>497.49027999999998</v>
      </c>
      <c r="J70" s="173">
        <f t="shared" si="28"/>
        <v>450</v>
      </c>
      <c r="K70" s="173">
        <f t="shared" si="28"/>
        <v>405</v>
      </c>
      <c r="L70" s="173">
        <f t="shared" si="28"/>
        <v>365</v>
      </c>
    </row>
    <row r="71" spans="1:16" ht="75" x14ac:dyDescent="0.25">
      <c r="A71" s="10"/>
      <c r="B71" s="11"/>
      <c r="C71" s="10" t="s">
        <v>163</v>
      </c>
      <c r="D71" s="11" t="s">
        <v>162</v>
      </c>
      <c r="E71" s="19" t="s">
        <v>314</v>
      </c>
      <c r="F71" s="14" t="s">
        <v>63</v>
      </c>
      <c r="G71" s="172">
        <v>800</v>
      </c>
      <c r="H71" s="172">
        <v>177.75291999999999</v>
      </c>
      <c r="I71" s="172">
        <v>307.75292000000002</v>
      </c>
      <c r="J71" s="172">
        <v>400</v>
      </c>
      <c r="K71" s="172">
        <v>360</v>
      </c>
      <c r="L71" s="172">
        <v>325</v>
      </c>
      <c r="M71" t="s">
        <v>505</v>
      </c>
    </row>
    <row r="72" spans="1:16" ht="75" x14ac:dyDescent="0.25">
      <c r="A72" s="10"/>
      <c r="B72" s="11"/>
      <c r="C72" s="10" t="s">
        <v>324</v>
      </c>
      <c r="D72" s="11" t="s">
        <v>164</v>
      </c>
      <c r="E72" s="19" t="s">
        <v>314</v>
      </c>
      <c r="F72" s="14" t="s">
        <v>64</v>
      </c>
      <c r="G72" s="172">
        <v>100</v>
      </c>
      <c r="H72" s="172">
        <v>159.73736</v>
      </c>
      <c r="I72" s="172">
        <v>189.73736</v>
      </c>
      <c r="J72" s="172">
        <v>50</v>
      </c>
      <c r="K72" s="172">
        <v>45</v>
      </c>
      <c r="L72" s="172">
        <v>40</v>
      </c>
    </row>
    <row r="73" spans="1:16" s="8" customFormat="1" ht="100.5" x14ac:dyDescent="0.25">
      <c r="A73" s="13"/>
      <c r="B73" s="12"/>
      <c r="C73" s="13" t="s">
        <v>563</v>
      </c>
      <c r="D73" s="12" t="s">
        <v>564</v>
      </c>
      <c r="E73" s="20"/>
      <c r="F73" s="14" t="s">
        <v>247</v>
      </c>
      <c r="G73" s="170">
        <f>G74+G75</f>
        <v>110</v>
      </c>
      <c r="H73" s="170">
        <f t="shared" ref="H73:L73" si="29">H74+H75</f>
        <v>196.39681999999999</v>
      </c>
      <c r="I73" s="170">
        <f t="shared" si="29"/>
        <v>216.39681999999999</v>
      </c>
      <c r="J73" s="170">
        <f t="shared" si="29"/>
        <v>267.60000000000002</v>
      </c>
      <c r="K73" s="170">
        <f t="shared" si="29"/>
        <v>245</v>
      </c>
      <c r="L73" s="170">
        <f t="shared" si="29"/>
        <v>220.9</v>
      </c>
    </row>
    <row r="74" spans="1:16" ht="120" x14ac:dyDescent="0.25">
      <c r="A74" s="10"/>
      <c r="B74" s="11"/>
      <c r="C74" s="10" t="s">
        <v>258</v>
      </c>
      <c r="D74" s="11" t="s">
        <v>259</v>
      </c>
      <c r="E74" s="19" t="s">
        <v>314</v>
      </c>
      <c r="F74" s="14" t="s">
        <v>282</v>
      </c>
      <c r="G74" s="172">
        <v>80</v>
      </c>
      <c r="H74" s="172">
        <v>166.51163</v>
      </c>
      <c r="I74" s="177">
        <v>176.51163</v>
      </c>
      <c r="J74" s="172">
        <v>194.6</v>
      </c>
      <c r="K74" s="172">
        <v>183.5</v>
      </c>
      <c r="L74" s="172">
        <v>165.9</v>
      </c>
      <c r="N74" s="64">
        <f>I74+I75</f>
        <v>216.39681999999999</v>
      </c>
    </row>
    <row r="75" spans="1:16" ht="87" customHeight="1" x14ac:dyDescent="0.25">
      <c r="A75" s="10"/>
      <c r="B75" s="11"/>
      <c r="C75" s="10" t="s">
        <v>329</v>
      </c>
      <c r="D75" s="11" t="s">
        <v>327</v>
      </c>
      <c r="E75" s="19" t="s">
        <v>314</v>
      </c>
      <c r="F75" s="14" t="s">
        <v>65</v>
      </c>
      <c r="G75" s="172">
        <v>30</v>
      </c>
      <c r="H75" s="172">
        <v>29.885190000000001</v>
      </c>
      <c r="I75" s="177">
        <v>39.885190000000001</v>
      </c>
      <c r="J75" s="172">
        <v>73</v>
      </c>
      <c r="K75" s="172">
        <v>61.5</v>
      </c>
      <c r="L75" s="172">
        <v>55</v>
      </c>
    </row>
    <row r="76" spans="1:16" s="17" customFormat="1" ht="75" x14ac:dyDescent="0.25">
      <c r="A76" s="16"/>
      <c r="B76" s="15" t="s">
        <v>332</v>
      </c>
      <c r="C76" s="16" t="s">
        <v>331</v>
      </c>
      <c r="D76" s="15" t="s">
        <v>332</v>
      </c>
      <c r="E76" s="21"/>
      <c r="F76" s="14" t="s">
        <v>66</v>
      </c>
      <c r="G76" s="171">
        <f>G77</f>
        <v>80</v>
      </c>
      <c r="H76" s="171">
        <f t="shared" ref="H76:L76" si="30">H77</f>
        <v>577.67989999999998</v>
      </c>
      <c r="I76" s="178">
        <f t="shared" si="30"/>
        <v>577.67989999999998</v>
      </c>
      <c r="J76" s="171">
        <f t="shared" si="30"/>
        <v>150</v>
      </c>
      <c r="K76" s="171">
        <f t="shared" si="30"/>
        <v>135</v>
      </c>
      <c r="L76" s="171">
        <f t="shared" si="30"/>
        <v>121.5</v>
      </c>
      <c r="P76" s="134" t="e">
        <f>P77+#REF!+P90+P92+P94+P108+P80+P83+P87+P78+#REF!+#REF!+P96+P98+#REF!+P99+P100+P103+P107</f>
        <v>#REF!</v>
      </c>
    </row>
    <row r="77" spans="1:16" ht="62.25" customHeight="1" x14ac:dyDescent="0.25">
      <c r="A77" s="10"/>
      <c r="B77" s="11"/>
      <c r="C77" s="10" t="s">
        <v>330</v>
      </c>
      <c r="D77" s="11" t="s">
        <v>328</v>
      </c>
      <c r="E77" s="19" t="s">
        <v>314</v>
      </c>
      <c r="F77" s="14" t="s">
        <v>67</v>
      </c>
      <c r="G77" s="172">
        <v>80</v>
      </c>
      <c r="H77" s="172">
        <v>577.67989999999998</v>
      </c>
      <c r="I77" s="177">
        <f>H77</f>
        <v>577.67989999999998</v>
      </c>
      <c r="J77" s="172">
        <v>150</v>
      </c>
      <c r="K77" s="172">
        <v>135</v>
      </c>
      <c r="L77" s="172">
        <v>121.5</v>
      </c>
    </row>
    <row r="78" spans="1:16" s="8" customFormat="1" ht="29.25" x14ac:dyDescent="0.25">
      <c r="A78" s="13"/>
      <c r="B78" s="12" t="s">
        <v>165</v>
      </c>
      <c r="C78" s="13" t="s">
        <v>167</v>
      </c>
      <c r="D78" s="12" t="s">
        <v>166</v>
      </c>
      <c r="E78" s="20"/>
      <c r="F78" s="14" t="s">
        <v>248</v>
      </c>
      <c r="G78" s="173">
        <f t="shared" ref="G78:L78" si="31">G79+G82+G86+G89+G91+G93+G95+G97+G99+G102+G106+G108+G112+G114</f>
        <v>96.7</v>
      </c>
      <c r="H78" s="173">
        <f t="shared" si="31"/>
        <v>499.28601000000003</v>
      </c>
      <c r="I78" s="173">
        <f t="shared" si="31"/>
        <v>512.1862000000001</v>
      </c>
      <c r="J78" s="173">
        <f t="shared" si="31"/>
        <v>315.5</v>
      </c>
      <c r="K78" s="173">
        <f t="shared" si="31"/>
        <v>328.09999999999997</v>
      </c>
      <c r="L78" s="173">
        <f t="shared" si="31"/>
        <v>341.2</v>
      </c>
      <c r="O78" s="8">
        <v>315.5</v>
      </c>
      <c r="P78" s="133">
        <f>O78-J78</f>
        <v>0</v>
      </c>
    </row>
    <row r="79" spans="1:16" s="8" customFormat="1" ht="102.75" customHeight="1" x14ac:dyDescent="0.25">
      <c r="A79" s="13"/>
      <c r="B79" s="12"/>
      <c r="C79" s="13" t="s">
        <v>517</v>
      </c>
      <c r="D79" s="12" t="s">
        <v>519</v>
      </c>
      <c r="E79" s="20"/>
      <c r="F79" s="14" t="s">
        <v>136</v>
      </c>
      <c r="G79" s="173">
        <f>G80+G81</f>
        <v>0</v>
      </c>
      <c r="H79" s="179">
        <f t="shared" ref="H79:L79" si="32">H80+H81</f>
        <v>2.0999999999999996</v>
      </c>
      <c r="I79" s="179">
        <f t="shared" si="32"/>
        <v>2.0999999999999996</v>
      </c>
      <c r="J79" s="173">
        <f t="shared" si="32"/>
        <v>0</v>
      </c>
      <c r="K79" s="173">
        <f t="shared" si="32"/>
        <v>0</v>
      </c>
      <c r="L79" s="173">
        <f t="shared" si="32"/>
        <v>0</v>
      </c>
    </row>
    <row r="80" spans="1:16" ht="92.25" customHeight="1" x14ac:dyDescent="0.25">
      <c r="A80" s="10"/>
      <c r="B80" s="11"/>
      <c r="C80" s="10" t="s">
        <v>338</v>
      </c>
      <c r="D80" s="11" t="s">
        <v>339</v>
      </c>
      <c r="E80" s="19" t="s">
        <v>340</v>
      </c>
      <c r="F80" s="14" t="s">
        <v>137</v>
      </c>
      <c r="G80" s="175">
        <v>0</v>
      </c>
      <c r="H80" s="180">
        <v>1.4</v>
      </c>
      <c r="I80" s="180">
        <f>H80</f>
        <v>1.4</v>
      </c>
      <c r="J80" s="175">
        <v>0</v>
      </c>
      <c r="K80" s="172">
        <v>0</v>
      </c>
      <c r="L80" s="172">
        <v>0</v>
      </c>
    </row>
    <row r="81" spans="1:12" ht="105" x14ac:dyDescent="0.25">
      <c r="A81" s="10"/>
      <c r="B81" s="11"/>
      <c r="C81" s="10" t="s">
        <v>648</v>
      </c>
      <c r="D81" s="11" t="s">
        <v>339</v>
      </c>
      <c r="E81" s="19" t="s">
        <v>313</v>
      </c>
      <c r="F81" s="14" t="s">
        <v>138</v>
      </c>
      <c r="G81" s="175">
        <v>0</v>
      </c>
      <c r="H81" s="180">
        <v>0.7</v>
      </c>
      <c r="I81" s="180">
        <f>H81</f>
        <v>0.7</v>
      </c>
      <c r="J81" s="175">
        <v>0</v>
      </c>
      <c r="K81" s="172">
        <v>0</v>
      </c>
      <c r="L81" s="172">
        <v>0</v>
      </c>
    </row>
    <row r="82" spans="1:12" s="8" customFormat="1" ht="134.25" customHeight="1" x14ac:dyDescent="0.25">
      <c r="A82" s="13"/>
      <c r="B82" s="12"/>
      <c r="C82" s="13" t="s">
        <v>518</v>
      </c>
      <c r="D82" s="12" t="s">
        <v>341</v>
      </c>
      <c r="E82" s="20"/>
      <c r="F82" s="14" t="s">
        <v>176</v>
      </c>
      <c r="G82" s="173">
        <f>G83+G84+G85</f>
        <v>5</v>
      </c>
      <c r="H82" s="179">
        <f>H83+H84+H85</f>
        <v>49.05</v>
      </c>
      <c r="I82" s="179">
        <f t="shared" ref="I82:L82" si="33">I83+I84+I85</f>
        <v>50.05</v>
      </c>
      <c r="J82" s="173">
        <f t="shared" si="33"/>
        <v>47.8</v>
      </c>
      <c r="K82" s="173">
        <f t="shared" si="33"/>
        <v>49.4</v>
      </c>
      <c r="L82" s="173">
        <f t="shared" si="33"/>
        <v>51.1</v>
      </c>
    </row>
    <row r="83" spans="1:12" ht="135" x14ac:dyDescent="0.25">
      <c r="A83" s="10"/>
      <c r="B83" s="11"/>
      <c r="C83" s="10" t="s">
        <v>342</v>
      </c>
      <c r="D83" s="11" t="s">
        <v>341</v>
      </c>
      <c r="E83" s="19" t="s">
        <v>340</v>
      </c>
      <c r="F83" s="14" t="s">
        <v>177</v>
      </c>
      <c r="G83" s="175">
        <v>5</v>
      </c>
      <c r="H83" s="180">
        <v>6.25</v>
      </c>
      <c r="I83" s="180">
        <v>7.25</v>
      </c>
      <c r="J83" s="175">
        <v>7</v>
      </c>
      <c r="K83" s="175">
        <v>7</v>
      </c>
      <c r="L83" s="175">
        <v>7</v>
      </c>
    </row>
    <row r="84" spans="1:12" ht="135" x14ac:dyDescent="0.25">
      <c r="A84" s="10"/>
      <c r="B84" s="11"/>
      <c r="C84" s="10" t="s">
        <v>515</v>
      </c>
      <c r="D84" s="11" t="s">
        <v>341</v>
      </c>
      <c r="E84" s="19" t="s">
        <v>353</v>
      </c>
      <c r="F84" s="14" t="s">
        <v>178</v>
      </c>
      <c r="G84" s="175">
        <v>0</v>
      </c>
      <c r="H84" s="180">
        <v>42</v>
      </c>
      <c r="I84" s="180">
        <v>42</v>
      </c>
      <c r="J84" s="175">
        <v>40.799999999999997</v>
      </c>
      <c r="K84" s="175">
        <v>42.4</v>
      </c>
      <c r="L84" s="175">
        <v>44.1</v>
      </c>
    </row>
    <row r="85" spans="1:12" ht="135" x14ac:dyDescent="0.25">
      <c r="A85" s="10"/>
      <c r="B85" s="11"/>
      <c r="C85" s="10" t="s">
        <v>516</v>
      </c>
      <c r="D85" s="11" t="s">
        <v>341</v>
      </c>
      <c r="E85" s="19" t="s">
        <v>313</v>
      </c>
      <c r="F85" s="14" t="s">
        <v>179</v>
      </c>
      <c r="G85" s="175">
        <v>0</v>
      </c>
      <c r="H85" s="180">
        <v>0.8</v>
      </c>
      <c r="I85" s="180">
        <f>H85</f>
        <v>0.8</v>
      </c>
      <c r="J85" s="175">
        <v>0</v>
      </c>
      <c r="K85" s="175">
        <v>0</v>
      </c>
      <c r="L85" s="175">
        <v>0</v>
      </c>
    </row>
    <row r="86" spans="1:12" s="8" customFormat="1" ht="114.75" x14ac:dyDescent="0.25">
      <c r="A86" s="13"/>
      <c r="B86" s="12"/>
      <c r="C86" s="13" t="s">
        <v>520</v>
      </c>
      <c r="D86" s="12" t="s">
        <v>344</v>
      </c>
      <c r="E86" s="20"/>
      <c r="F86" s="14" t="s">
        <v>180</v>
      </c>
      <c r="G86" s="173">
        <f>G87+G88</f>
        <v>0</v>
      </c>
      <c r="H86" s="179">
        <f t="shared" ref="H86:L86" si="34">H87+H88</f>
        <v>1.85</v>
      </c>
      <c r="I86" s="179">
        <f t="shared" si="34"/>
        <v>1.85</v>
      </c>
      <c r="J86" s="173">
        <f t="shared" si="34"/>
        <v>2</v>
      </c>
      <c r="K86" s="173">
        <f t="shared" si="34"/>
        <v>2</v>
      </c>
      <c r="L86" s="173">
        <f t="shared" si="34"/>
        <v>2.2000000000000002</v>
      </c>
    </row>
    <row r="87" spans="1:12" ht="105" x14ac:dyDescent="0.25">
      <c r="A87" s="10"/>
      <c r="B87" s="11"/>
      <c r="C87" s="10" t="s">
        <v>343</v>
      </c>
      <c r="D87" s="11" t="s">
        <v>344</v>
      </c>
      <c r="E87" s="19" t="s">
        <v>340</v>
      </c>
      <c r="F87" s="14" t="s">
        <v>181</v>
      </c>
      <c r="G87" s="175">
        <v>0</v>
      </c>
      <c r="H87" s="180">
        <v>1.05</v>
      </c>
      <c r="I87" s="180">
        <f>H87</f>
        <v>1.05</v>
      </c>
      <c r="J87" s="175">
        <v>0</v>
      </c>
      <c r="K87" s="175">
        <v>0</v>
      </c>
      <c r="L87" s="175">
        <v>0</v>
      </c>
    </row>
    <row r="88" spans="1:12" ht="105" x14ac:dyDescent="0.25">
      <c r="A88" s="10"/>
      <c r="B88" s="11"/>
      <c r="C88" s="10" t="s">
        <v>354</v>
      </c>
      <c r="D88" s="11" t="s">
        <v>344</v>
      </c>
      <c r="E88" s="19" t="s">
        <v>353</v>
      </c>
      <c r="F88" s="14" t="s">
        <v>182</v>
      </c>
      <c r="G88" s="175">
        <v>0</v>
      </c>
      <c r="H88" s="180">
        <v>0.8</v>
      </c>
      <c r="I88" s="180">
        <f>H88</f>
        <v>0.8</v>
      </c>
      <c r="J88" s="175">
        <v>2</v>
      </c>
      <c r="K88" s="175">
        <v>2</v>
      </c>
      <c r="L88" s="175">
        <v>2.2000000000000002</v>
      </c>
    </row>
    <row r="89" spans="1:12" s="8" customFormat="1" ht="129" x14ac:dyDescent="0.25">
      <c r="A89" s="13"/>
      <c r="B89" s="12"/>
      <c r="C89" s="13" t="s">
        <v>522</v>
      </c>
      <c r="D89" s="12" t="s">
        <v>346</v>
      </c>
      <c r="E89" s="20"/>
      <c r="F89" s="14" t="s">
        <v>183</v>
      </c>
      <c r="G89" s="173">
        <f>G90</f>
        <v>0</v>
      </c>
      <c r="H89" s="179">
        <f t="shared" ref="H89:L89" si="35">H90</f>
        <v>5</v>
      </c>
      <c r="I89" s="179">
        <f t="shared" si="35"/>
        <v>5</v>
      </c>
      <c r="J89" s="173">
        <f t="shared" si="35"/>
        <v>5</v>
      </c>
      <c r="K89" s="173">
        <f t="shared" si="35"/>
        <v>5.2</v>
      </c>
      <c r="L89" s="173">
        <f t="shared" si="35"/>
        <v>5.4</v>
      </c>
    </row>
    <row r="90" spans="1:12" ht="120" x14ac:dyDescent="0.25">
      <c r="A90" s="10"/>
      <c r="B90" s="11"/>
      <c r="C90" s="10" t="s">
        <v>521</v>
      </c>
      <c r="D90" s="11" t="s">
        <v>346</v>
      </c>
      <c r="E90" s="19" t="s">
        <v>353</v>
      </c>
      <c r="F90" s="14" t="s">
        <v>184</v>
      </c>
      <c r="G90" s="175">
        <v>0</v>
      </c>
      <c r="H90" s="180">
        <v>5</v>
      </c>
      <c r="I90" s="180">
        <f>H90</f>
        <v>5</v>
      </c>
      <c r="J90" s="175">
        <v>5</v>
      </c>
      <c r="K90" s="175">
        <v>5.2</v>
      </c>
      <c r="L90" s="175">
        <v>5.4</v>
      </c>
    </row>
    <row r="91" spans="1:12" s="8" customFormat="1" ht="114.75" x14ac:dyDescent="0.25">
      <c r="A91" s="13"/>
      <c r="B91" s="12"/>
      <c r="C91" s="13" t="s">
        <v>524</v>
      </c>
      <c r="D91" s="12" t="s">
        <v>348</v>
      </c>
      <c r="E91" s="20"/>
      <c r="F91" s="14" t="s">
        <v>185</v>
      </c>
      <c r="G91" s="173">
        <f>G92</f>
        <v>0</v>
      </c>
      <c r="H91" s="179">
        <f t="shared" ref="H91:L91" si="36">H92</f>
        <v>10</v>
      </c>
      <c r="I91" s="179">
        <f t="shared" si="36"/>
        <v>10</v>
      </c>
      <c r="J91" s="173">
        <f t="shared" si="36"/>
        <v>24</v>
      </c>
      <c r="K91" s="173">
        <f t="shared" si="36"/>
        <v>25.2</v>
      </c>
      <c r="L91" s="173">
        <f t="shared" si="36"/>
        <v>26</v>
      </c>
    </row>
    <row r="92" spans="1:12" ht="90" x14ac:dyDescent="0.25">
      <c r="A92" s="10"/>
      <c r="B92" s="11"/>
      <c r="C92" s="10" t="s">
        <v>523</v>
      </c>
      <c r="D92" s="11" t="s">
        <v>348</v>
      </c>
      <c r="E92" s="19" t="s">
        <v>353</v>
      </c>
      <c r="F92" s="14" t="s">
        <v>186</v>
      </c>
      <c r="G92" s="175">
        <v>0</v>
      </c>
      <c r="H92" s="180">
        <v>10</v>
      </c>
      <c r="I92" s="180">
        <f>H92</f>
        <v>10</v>
      </c>
      <c r="J92" s="175">
        <v>24</v>
      </c>
      <c r="K92" s="175">
        <v>25.2</v>
      </c>
      <c r="L92" s="175">
        <v>26</v>
      </c>
    </row>
    <row r="93" spans="1:12" s="8" customFormat="1" ht="132" customHeight="1" x14ac:dyDescent="0.25">
      <c r="A93" s="13"/>
      <c r="B93" s="12"/>
      <c r="C93" s="13" t="s">
        <v>526</v>
      </c>
      <c r="D93" s="12" t="s">
        <v>525</v>
      </c>
      <c r="E93" s="20"/>
      <c r="F93" s="14" t="s">
        <v>187</v>
      </c>
      <c r="G93" s="173">
        <f>G94</f>
        <v>22</v>
      </c>
      <c r="H93" s="179">
        <f t="shared" ref="H93:L93" si="37">H94</f>
        <v>15</v>
      </c>
      <c r="I93" s="179">
        <f t="shared" si="37"/>
        <v>16</v>
      </c>
      <c r="J93" s="173">
        <f t="shared" si="37"/>
        <v>22</v>
      </c>
      <c r="K93" s="173">
        <f t="shared" si="37"/>
        <v>23</v>
      </c>
      <c r="L93" s="173">
        <f t="shared" si="37"/>
        <v>23.8</v>
      </c>
    </row>
    <row r="94" spans="1:12" ht="120" x14ac:dyDescent="0.25">
      <c r="A94" s="10"/>
      <c r="B94" s="11"/>
      <c r="C94" s="10" t="s">
        <v>355</v>
      </c>
      <c r="D94" s="11" t="s">
        <v>525</v>
      </c>
      <c r="E94" s="19" t="s">
        <v>353</v>
      </c>
      <c r="F94" s="14" t="s">
        <v>188</v>
      </c>
      <c r="G94" s="175">
        <v>22</v>
      </c>
      <c r="H94" s="180">
        <v>15</v>
      </c>
      <c r="I94" s="180">
        <v>16</v>
      </c>
      <c r="J94" s="175">
        <v>22</v>
      </c>
      <c r="K94" s="175">
        <v>23</v>
      </c>
      <c r="L94" s="175">
        <v>23.8</v>
      </c>
    </row>
    <row r="95" spans="1:12" s="8" customFormat="1" ht="114.75" x14ac:dyDescent="0.25">
      <c r="A95" s="13"/>
      <c r="B95" s="12"/>
      <c r="C95" s="13" t="s">
        <v>527</v>
      </c>
      <c r="D95" s="12" t="s">
        <v>339</v>
      </c>
      <c r="E95" s="20"/>
      <c r="F95" s="14" t="s">
        <v>189</v>
      </c>
      <c r="G95" s="173">
        <f>G96</f>
        <v>0</v>
      </c>
      <c r="H95" s="179">
        <f t="shared" ref="H95:L95" si="38">H96</f>
        <v>0.55000000000000004</v>
      </c>
      <c r="I95" s="179">
        <f t="shared" si="38"/>
        <v>0.55000000000000004</v>
      </c>
      <c r="J95" s="173">
        <f t="shared" si="38"/>
        <v>1.3</v>
      </c>
      <c r="K95" s="173">
        <f t="shared" si="38"/>
        <v>1.4</v>
      </c>
      <c r="L95" s="173">
        <f t="shared" si="38"/>
        <v>1.9</v>
      </c>
    </row>
    <row r="96" spans="1:12" ht="105" x14ac:dyDescent="0.25">
      <c r="A96" s="10"/>
      <c r="B96" s="11"/>
      <c r="C96" s="10" t="s">
        <v>352</v>
      </c>
      <c r="D96" s="11" t="s">
        <v>339</v>
      </c>
      <c r="E96" s="128" t="s">
        <v>353</v>
      </c>
      <c r="F96" s="14" t="s">
        <v>190</v>
      </c>
      <c r="G96" s="175">
        <v>0</v>
      </c>
      <c r="H96" s="180">
        <v>0.55000000000000004</v>
      </c>
      <c r="I96" s="180">
        <v>0.55000000000000004</v>
      </c>
      <c r="J96" s="175">
        <v>1.3</v>
      </c>
      <c r="K96" s="175">
        <v>1.4</v>
      </c>
      <c r="L96" s="175">
        <v>1.9</v>
      </c>
    </row>
    <row r="97" spans="1:12" s="8" customFormat="1" ht="114.75" x14ac:dyDescent="0.25">
      <c r="A97" s="13"/>
      <c r="B97" s="12"/>
      <c r="C97" s="13" t="s">
        <v>528</v>
      </c>
      <c r="D97" s="12" t="s">
        <v>344</v>
      </c>
      <c r="E97" s="129"/>
      <c r="F97" s="14" t="s">
        <v>191</v>
      </c>
      <c r="G97" s="173">
        <f>G98</f>
        <v>0</v>
      </c>
      <c r="H97" s="179">
        <f t="shared" ref="H97:L97" si="39">H98</f>
        <v>1.4</v>
      </c>
      <c r="I97" s="179">
        <f t="shared" si="39"/>
        <v>1.4</v>
      </c>
      <c r="J97" s="173">
        <f t="shared" si="39"/>
        <v>0</v>
      </c>
      <c r="K97" s="173">
        <f t="shared" si="39"/>
        <v>0</v>
      </c>
      <c r="L97" s="173">
        <f t="shared" si="39"/>
        <v>0</v>
      </c>
    </row>
    <row r="98" spans="1:12" ht="105" x14ac:dyDescent="0.25">
      <c r="A98" s="10"/>
      <c r="B98" s="11"/>
      <c r="C98" s="10" t="s">
        <v>354</v>
      </c>
      <c r="D98" s="11" t="s">
        <v>344</v>
      </c>
      <c r="E98" s="128" t="s">
        <v>353</v>
      </c>
      <c r="F98" s="14" t="s">
        <v>192</v>
      </c>
      <c r="G98" s="175">
        <v>0</v>
      </c>
      <c r="H98" s="180">
        <v>1.4</v>
      </c>
      <c r="I98" s="180">
        <v>1.4</v>
      </c>
      <c r="J98" s="175">
        <v>0</v>
      </c>
      <c r="K98" s="175">
        <v>0</v>
      </c>
      <c r="L98" s="175">
        <v>0</v>
      </c>
    </row>
    <row r="99" spans="1:12" s="8" customFormat="1" ht="114.75" x14ac:dyDescent="0.25">
      <c r="A99" s="13"/>
      <c r="B99" s="12"/>
      <c r="C99" s="13" t="s">
        <v>529</v>
      </c>
      <c r="D99" s="12" t="s">
        <v>360</v>
      </c>
      <c r="E99" s="150"/>
      <c r="F99" s="14" t="s">
        <v>193</v>
      </c>
      <c r="G99" s="173">
        <f>G100+G101</f>
        <v>0</v>
      </c>
      <c r="H99" s="179">
        <f t="shared" ref="H99:L99" si="40">H100+H101</f>
        <v>51.024619999999999</v>
      </c>
      <c r="I99" s="179">
        <f t="shared" si="40"/>
        <v>51.024619999999999</v>
      </c>
      <c r="J99" s="173">
        <f t="shared" si="40"/>
        <v>56</v>
      </c>
      <c r="K99" s="173">
        <f t="shared" si="40"/>
        <v>58.2</v>
      </c>
      <c r="L99" s="173">
        <f t="shared" si="40"/>
        <v>60.5</v>
      </c>
    </row>
    <row r="100" spans="1:12" ht="105" x14ac:dyDescent="0.25">
      <c r="A100" s="10"/>
      <c r="B100" s="11"/>
      <c r="C100" s="10" t="s">
        <v>359</v>
      </c>
      <c r="D100" s="11" t="s">
        <v>360</v>
      </c>
      <c r="E100" s="149" t="s">
        <v>353</v>
      </c>
      <c r="F100" s="14" t="s">
        <v>194</v>
      </c>
      <c r="G100" s="175">
        <v>0</v>
      </c>
      <c r="H100" s="180">
        <v>50.024619999999999</v>
      </c>
      <c r="I100" s="180">
        <f>H100</f>
        <v>50.024619999999999</v>
      </c>
      <c r="J100" s="175">
        <v>55</v>
      </c>
      <c r="K100" s="175">
        <v>57.2</v>
      </c>
      <c r="L100" s="175">
        <v>59.5</v>
      </c>
    </row>
    <row r="101" spans="1:12" ht="105" x14ac:dyDescent="0.25">
      <c r="A101" s="10"/>
      <c r="B101" s="11"/>
      <c r="C101" s="10" t="s">
        <v>530</v>
      </c>
      <c r="D101" s="11" t="s">
        <v>360</v>
      </c>
      <c r="E101" s="149" t="s">
        <v>313</v>
      </c>
      <c r="F101" s="14" t="s">
        <v>195</v>
      </c>
      <c r="G101" s="175">
        <v>0</v>
      </c>
      <c r="H101" s="180">
        <v>1</v>
      </c>
      <c r="I101" s="180">
        <f>H101</f>
        <v>1</v>
      </c>
      <c r="J101" s="175">
        <v>1</v>
      </c>
      <c r="K101" s="175">
        <v>1</v>
      </c>
      <c r="L101" s="175">
        <v>1</v>
      </c>
    </row>
    <row r="102" spans="1:12" s="8" customFormat="1" ht="129" x14ac:dyDescent="0.25">
      <c r="A102" s="13"/>
      <c r="B102" s="12"/>
      <c r="C102" s="13" t="s">
        <v>532</v>
      </c>
      <c r="D102" s="12" t="s">
        <v>346</v>
      </c>
      <c r="E102" s="150"/>
      <c r="F102" s="14" t="s">
        <v>196</v>
      </c>
      <c r="G102" s="173">
        <f>G103+G104+G105</f>
        <v>26</v>
      </c>
      <c r="H102" s="179">
        <f t="shared" ref="H102:L102" si="41">H103+H104+H105</f>
        <v>137.37</v>
      </c>
      <c r="I102" s="179">
        <f t="shared" si="41"/>
        <v>142.17000000000002</v>
      </c>
      <c r="J102" s="173">
        <f t="shared" si="41"/>
        <v>121.4</v>
      </c>
      <c r="K102" s="173">
        <f t="shared" si="41"/>
        <v>126.3</v>
      </c>
      <c r="L102" s="173">
        <f t="shared" si="41"/>
        <v>131.4</v>
      </c>
    </row>
    <row r="103" spans="1:12" ht="120" x14ac:dyDescent="0.25">
      <c r="A103" s="10"/>
      <c r="B103" s="11"/>
      <c r="C103" s="10" t="s">
        <v>345</v>
      </c>
      <c r="D103" s="11" t="s">
        <v>346</v>
      </c>
      <c r="E103" s="149" t="s">
        <v>340</v>
      </c>
      <c r="F103" s="14" t="s">
        <v>197</v>
      </c>
      <c r="G103" s="175">
        <v>0</v>
      </c>
      <c r="H103" s="180">
        <v>5.25</v>
      </c>
      <c r="I103" s="180">
        <f>H103</f>
        <v>5.25</v>
      </c>
      <c r="J103" s="175">
        <v>0</v>
      </c>
      <c r="K103" s="175">
        <v>0</v>
      </c>
      <c r="L103" s="175">
        <v>0</v>
      </c>
    </row>
    <row r="104" spans="1:12" ht="120" x14ac:dyDescent="0.25">
      <c r="A104" s="10"/>
      <c r="B104" s="11"/>
      <c r="C104" s="10" t="s">
        <v>361</v>
      </c>
      <c r="D104" s="11" t="s">
        <v>346</v>
      </c>
      <c r="E104" s="149" t="s">
        <v>353</v>
      </c>
      <c r="F104" s="14" t="s">
        <v>198</v>
      </c>
      <c r="G104" s="175">
        <v>26</v>
      </c>
      <c r="H104" s="180">
        <v>130.57</v>
      </c>
      <c r="I104" s="180">
        <v>135.37</v>
      </c>
      <c r="J104" s="175">
        <v>121.4</v>
      </c>
      <c r="K104" s="175">
        <v>126.3</v>
      </c>
      <c r="L104" s="175">
        <v>131.4</v>
      </c>
    </row>
    <row r="105" spans="1:12" ht="120" x14ac:dyDescent="0.25">
      <c r="A105" s="10"/>
      <c r="B105" s="11"/>
      <c r="C105" s="10" t="s">
        <v>531</v>
      </c>
      <c r="D105" s="11" t="s">
        <v>346</v>
      </c>
      <c r="E105" s="149" t="s">
        <v>313</v>
      </c>
      <c r="F105" s="14" t="s">
        <v>199</v>
      </c>
      <c r="G105" s="175">
        <v>0</v>
      </c>
      <c r="H105" s="180">
        <v>1.55</v>
      </c>
      <c r="I105" s="180">
        <f>H105</f>
        <v>1.55</v>
      </c>
      <c r="J105" s="175">
        <v>0</v>
      </c>
      <c r="K105" s="175">
        <v>0</v>
      </c>
      <c r="L105" s="175">
        <v>0</v>
      </c>
    </row>
    <row r="106" spans="1:12" s="8" customFormat="1" ht="100.5" x14ac:dyDescent="0.25">
      <c r="A106" s="13"/>
      <c r="B106" s="12"/>
      <c r="C106" s="13" t="s">
        <v>534</v>
      </c>
      <c r="D106" s="12" t="s">
        <v>365</v>
      </c>
      <c r="E106" s="150"/>
      <c r="F106" s="14" t="s">
        <v>200</v>
      </c>
      <c r="G106" s="173">
        <f>G107</f>
        <v>0</v>
      </c>
      <c r="H106" s="179">
        <f t="shared" ref="H106:L106" si="42">H107</f>
        <v>80.710549999999998</v>
      </c>
      <c r="I106" s="179">
        <f t="shared" si="42"/>
        <v>80.710549999999998</v>
      </c>
      <c r="J106" s="173">
        <f t="shared" si="42"/>
        <v>0</v>
      </c>
      <c r="K106" s="173">
        <f t="shared" si="42"/>
        <v>0</v>
      </c>
      <c r="L106" s="173">
        <f t="shared" si="42"/>
        <v>0</v>
      </c>
    </row>
    <row r="107" spans="1:12" ht="90" x14ac:dyDescent="0.25">
      <c r="A107" s="10"/>
      <c r="B107" s="11"/>
      <c r="C107" s="10" t="s">
        <v>533</v>
      </c>
      <c r="D107" s="11" t="s">
        <v>365</v>
      </c>
      <c r="E107" s="149" t="s">
        <v>317</v>
      </c>
      <c r="F107" s="14" t="s">
        <v>201</v>
      </c>
      <c r="G107" s="175">
        <v>0</v>
      </c>
      <c r="H107" s="180">
        <v>80.710549999999998</v>
      </c>
      <c r="I107" s="180">
        <f>H107</f>
        <v>80.710549999999998</v>
      </c>
      <c r="J107" s="175">
        <v>0</v>
      </c>
      <c r="K107" s="175">
        <v>0</v>
      </c>
      <c r="L107" s="175">
        <v>0</v>
      </c>
    </row>
    <row r="108" spans="1:12" s="8" customFormat="1" ht="100.5" x14ac:dyDescent="0.25">
      <c r="A108" s="13"/>
      <c r="B108" s="12"/>
      <c r="C108" s="13" t="s">
        <v>535</v>
      </c>
      <c r="D108" s="12" t="s">
        <v>335</v>
      </c>
      <c r="E108" s="150"/>
      <c r="F108" s="14" t="s">
        <v>202</v>
      </c>
      <c r="G108" s="173">
        <f>G109+G110+G111</f>
        <v>43.7</v>
      </c>
      <c r="H108" s="179">
        <f t="shared" ref="H108:L108" si="43">H109+H110+H111</f>
        <v>27.909840000000003</v>
      </c>
      <c r="I108" s="179">
        <f t="shared" si="43"/>
        <v>34.01003</v>
      </c>
      <c r="J108" s="173">
        <f t="shared" si="43"/>
        <v>36</v>
      </c>
      <c r="K108" s="173">
        <f t="shared" si="43"/>
        <v>37.4</v>
      </c>
      <c r="L108" s="173">
        <f t="shared" si="43"/>
        <v>38.9</v>
      </c>
    </row>
    <row r="109" spans="1:12" ht="90" x14ac:dyDescent="0.25">
      <c r="A109" s="10"/>
      <c r="B109" s="11"/>
      <c r="C109" s="10" t="s">
        <v>536</v>
      </c>
      <c r="D109" s="11" t="s">
        <v>335</v>
      </c>
      <c r="E109" s="149" t="s">
        <v>537</v>
      </c>
      <c r="F109" s="14" t="s">
        <v>203</v>
      </c>
      <c r="G109" s="175">
        <v>0</v>
      </c>
      <c r="H109" s="180">
        <v>7.31</v>
      </c>
      <c r="I109" s="180">
        <f>H109</f>
        <v>7.31</v>
      </c>
      <c r="J109" s="175">
        <v>0</v>
      </c>
      <c r="K109" s="175">
        <v>0</v>
      </c>
      <c r="L109" s="175">
        <v>0</v>
      </c>
    </row>
    <row r="110" spans="1:12" ht="90" x14ac:dyDescent="0.25">
      <c r="A110" s="10"/>
      <c r="B110" s="11"/>
      <c r="C110" s="10" t="s">
        <v>538</v>
      </c>
      <c r="D110" s="11" t="s">
        <v>335</v>
      </c>
      <c r="E110" s="149" t="s">
        <v>310</v>
      </c>
      <c r="F110" s="14" t="s">
        <v>204</v>
      </c>
      <c r="G110" s="175">
        <v>42.7</v>
      </c>
      <c r="H110" s="180">
        <v>11.500030000000001</v>
      </c>
      <c r="I110" s="180">
        <v>17.500029999999999</v>
      </c>
      <c r="J110" s="175">
        <v>35</v>
      </c>
      <c r="K110" s="175">
        <v>36.4</v>
      </c>
      <c r="L110" s="175">
        <v>37.9</v>
      </c>
    </row>
    <row r="111" spans="1:12" ht="90" x14ac:dyDescent="0.25">
      <c r="A111" s="10"/>
      <c r="B111" s="11"/>
      <c r="C111" s="10" t="s">
        <v>539</v>
      </c>
      <c r="D111" s="11" t="s">
        <v>335</v>
      </c>
      <c r="E111" s="128" t="s">
        <v>313</v>
      </c>
      <c r="F111" s="14" t="s">
        <v>205</v>
      </c>
      <c r="G111" s="175">
        <v>1</v>
      </c>
      <c r="H111" s="180">
        <v>9.0998099999999997</v>
      </c>
      <c r="I111" s="180">
        <v>9.1999999999999993</v>
      </c>
      <c r="J111" s="175">
        <v>1</v>
      </c>
      <c r="K111" s="175">
        <v>1</v>
      </c>
      <c r="L111" s="175">
        <v>1</v>
      </c>
    </row>
    <row r="112" spans="1:12" s="8" customFormat="1" ht="100.5" x14ac:dyDescent="0.25">
      <c r="A112" s="13"/>
      <c r="B112" s="12"/>
      <c r="C112" s="13" t="s">
        <v>541</v>
      </c>
      <c r="D112" s="12" t="s">
        <v>540</v>
      </c>
      <c r="E112" s="129"/>
      <c r="F112" s="14" t="s">
        <v>206</v>
      </c>
      <c r="G112" s="173">
        <f>G113</f>
        <v>0</v>
      </c>
      <c r="H112" s="179">
        <f t="shared" ref="H112:L112" si="44">H113</f>
        <v>0.3</v>
      </c>
      <c r="I112" s="179">
        <f t="shared" si="44"/>
        <v>0.3</v>
      </c>
      <c r="J112" s="173">
        <f t="shared" si="44"/>
        <v>0</v>
      </c>
      <c r="K112" s="173">
        <f t="shared" si="44"/>
        <v>0</v>
      </c>
      <c r="L112" s="173">
        <f t="shared" si="44"/>
        <v>0</v>
      </c>
    </row>
    <row r="113" spans="1:14" ht="90" x14ac:dyDescent="0.25">
      <c r="A113" s="10"/>
      <c r="B113" s="11"/>
      <c r="C113" s="10" t="s">
        <v>347</v>
      </c>
      <c r="D113" s="11" t="s">
        <v>540</v>
      </c>
      <c r="E113" s="128" t="s">
        <v>71</v>
      </c>
      <c r="F113" s="14" t="s">
        <v>207</v>
      </c>
      <c r="G113" s="175">
        <v>0</v>
      </c>
      <c r="H113" s="180">
        <v>0.3</v>
      </c>
      <c r="I113" s="180">
        <f>H113</f>
        <v>0.3</v>
      </c>
      <c r="J113" s="175">
        <v>0</v>
      </c>
      <c r="K113" s="175">
        <v>0</v>
      </c>
      <c r="L113" s="175">
        <v>0</v>
      </c>
    </row>
    <row r="114" spans="1:14" s="8" customFormat="1" ht="143.25" x14ac:dyDescent="0.25">
      <c r="A114" s="13"/>
      <c r="B114" s="12"/>
      <c r="C114" s="13" t="s">
        <v>543</v>
      </c>
      <c r="D114" s="12" t="s">
        <v>542</v>
      </c>
      <c r="E114" s="129"/>
      <c r="F114" s="14" t="s">
        <v>208</v>
      </c>
      <c r="G114" s="173">
        <f>G115+G116</f>
        <v>0</v>
      </c>
      <c r="H114" s="179">
        <f t="shared" ref="H114:L114" si="45">H115+H116</f>
        <v>117.021</v>
      </c>
      <c r="I114" s="179">
        <f t="shared" si="45"/>
        <v>117.021</v>
      </c>
      <c r="J114" s="173">
        <f t="shared" si="45"/>
        <v>0</v>
      </c>
      <c r="K114" s="173">
        <f t="shared" si="45"/>
        <v>0</v>
      </c>
      <c r="L114" s="173">
        <f t="shared" si="45"/>
        <v>0</v>
      </c>
    </row>
    <row r="115" spans="1:14" ht="138.75" customHeight="1" x14ac:dyDescent="0.25">
      <c r="A115" s="10"/>
      <c r="B115" s="11"/>
      <c r="C115" s="10" t="s">
        <v>544</v>
      </c>
      <c r="D115" s="11" t="s">
        <v>542</v>
      </c>
      <c r="E115" s="128" t="s">
        <v>537</v>
      </c>
      <c r="F115" s="14" t="s">
        <v>209</v>
      </c>
      <c r="G115" s="175">
        <v>0</v>
      </c>
      <c r="H115" s="180">
        <v>102.821</v>
      </c>
      <c r="I115" s="180">
        <f>H115</f>
        <v>102.821</v>
      </c>
      <c r="J115" s="175">
        <v>0</v>
      </c>
      <c r="K115" s="175">
        <v>0</v>
      </c>
      <c r="L115" s="175">
        <v>0</v>
      </c>
    </row>
    <row r="116" spans="1:14" ht="150" x14ac:dyDescent="0.25">
      <c r="A116" s="10"/>
      <c r="B116" s="11"/>
      <c r="C116" s="10" t="s">
        <v>545</v>
      </c>
      <c r="D116" s="11" t="s">
        <v>542</v>
      </c>
      <c r="E116" s="128" t="s">
        <v>334</v>
      </c>
      <c r="F116" s="14" t="s">
        <v>210</v>
      </c>
      <c r="G116" s="175">
        <v>0</v>
      </c>
      <c r="H116" s="180">
        <v>14.2</v>
      </c>
      <c r="I116" s="180">
        <f>H116</f>
        <v>14.2</v>
      </c>
      <c r="J116" s="175">
        <v>0</v>
      </c>
      <c r="K116" s="175">
        <v>0</v>
      </c>
      <c r="L116" s="175">
        <v>0</v>
      </c>
    </row>
    <row r="117" spans="1:14" s="8" customFormat="1" ht="29.25" x14ac:dyDescent="0.25">
      <c r="A117" s="13"/>
      <c r="B117" s="12" t="s">
        <v>238</v>
      </c>
      <c r="C117" s="13" t="s">
        <v>239</v>
      </c>
      <c r="D117" s="12" t="s">
        <v>238</v>
      </c>
      <c r="E117" s="129"/>
      <c r="F117" s="14" t="s">
        <v>211</v>
      </c>
      <c r="G117" s="173">
        <f>G118+G120</f>
        <v>34.1</v>
      </c>
      <c r="H117" s="179">
        <f t="shared" ref="H117:L117" si="46">H118+H120</f>
        <v>108.81654</v>
      </c>
      <c r="I117" s="179">
        <f t="shared" si="46"/>
        <v>106.31654</v>
      </c>
      <c r="J117" s="173">
        <f t="shared" si="46"/>
        <v>40</v>
      </c>
      <c r="K117" s="173">
        <f t="shared" si="46"/>
        <v>41.6</v>
      </c>
      <c r="L117" s="173">
        <f t="shared" si="46"/>
        <v>43.3</v>
      </c>
    </row>
    <row r="118" spans="1:14" s="17" customFormat="1" ht="15.75" x14ac:dyDescent="0.25">
      <c r="A118" s="16"/>
      <c r="B118" s="15" t="s">
        <v>240</v>
      </c>
      <c r="C118" s="16" t="s">
        <v>242</v>
      </c>
      <c r="D118" s="15" t="s">
        <v>240</v>
      </c>
      <c r="E118" s="132"/>
      <c r="F118" s="14" t="s">
        <v>212</v>
      </c>
      <c r="G118" s="174">
        <f>G119</f>
        <v>0</v>
      </c>
      <c r="H118" s="181">
        <f t="shared" ref="H118:L118" si="47">H119</f>
        <v>2.5</v>
      </c>
      <c r="I118" s="181">
        <f t="shared" si="47"/>
        <v>0</v>
      </c>
      <c r="J118" s="174">
        <f t="shared" si="47"/>
        <v>0</v>
      </c>
      <c r="K118" s="174">
        <f t="shared" si="47"/>
        <v>0</v>
      </c>
      <c r="L118" s="174">
        <f t="shared" si="47"/>
        <v>0</v>
      </c>
    </row>
    <row r="119" spans="1:14" ht="90" x14ac:dyDescent="0.25">
      <c r="A119" s="10"/>
      <c r="B119" s="11"/>
      <c r="C119" s="10" t="s">
        <v>546</v>
      </c>
      <c r="D119" s="11" t="s">
        <v>241</v>
      </c>
      <c r="E119" s="19" t="s">
        <v>317</v>
      </c>
      <c r="F119" s="14" t="s">
        <v>213</v>
      </c>
      <c r="G119" s="175">
        <v>0</v>
      </c>
      <c r="H119" s="180">
        <v>2.5</v>
      </c>
      <c r="I119" s="180">
        <v>0</v>
      </c>
      <c r="J119" s="175">
        <v>0</v>
      </c>
      <c r="K119" s="175">
        <v>0</v>
      </c>
      <c r="L119" s="175">
        <v>0</v>
      </c>
    </row>
    <row r="120" spans="1:14" ht="15.75" x14ac:dyDescent="0.25">
      <c r="A120" s="16"/>
      <c r="B120" s="15" t="s">
        <v>240</v>
      </c>
      <c r="C120" s="16" t="s">
        <v>547</v>
      </c>
      <c r="D120" s="15" t="s">
        <v>548</v>
      </c>
      <c r="E120" s="132"/>
      <c r="F120" s="14" t="s">
        <v>214</v>
      </c>
      <c r="G120" s="174">
        <f>G121+G122</f>
        <v>34.1</v>
      </c>
      <c r="H120" s="181">
        <f t="shared" ref="H120:L120" si="48">H121+H122</f>
        <v>106.31654</v>
      </c>
      <c r="I120" s="181">
        <f t="shared" si="48"/>
        <v>106.31654</v>
      </c>
      <c r="J120" s="174">
        <f t="shared" si="48"/>
        <v>40</v>
      </c>
      <c r="K120" s="174">
        <f t="shared" si="48"/>
        <v>41.6</v>
      </c>
      <c r="L120" s="174">
        <f t="shared" si="48"/>
        <v>43.3</v>
      </c>
    </row>
    <row r="121" spans="1:14" s="29" customFormat="1" ht="75" x14ac:dyDescent="0.25">
      <c r="A121" s="10"/>
      <c r="B121" s="11"/>
      <c r="C121" s="10" t="s">
        <v>550</v>
      </c>
      <c r="D121" s="11" t="s">
        <v>370</v>
      </c>
      <c r="E121" s="19" t="s">
        <v>318</v>
      </c>
      <c r="F121" s="14" t="s">
        <v>215</v>
      </c>
      <c r="G121" s="175">
        <v>34.1</v>
      </c>
      <c r="H121" s="180">
        <v>34.1</v>
      </c>
      <c r="I121" s="180">
        <f>H121</f>
        <v>34.1</v>
      </c>
      <c r="J121" s="175">
        <v>0</v>
      </c>
      <c r="K121" s="175">
        <v>0</v>
      </c>
      <c r="L121" s="175">
        <v>0</v>
      </c>
    </row>
    <row r="122" spans="1:14" s="8" customFormat="1" ht="75" x14ac:dyDescent="0.25">
      <c r="A122" s="10"/>
      <c r="B122" s="11"/>
      <c r="C122" s="10" t="s">
        <v>549</v>
      </c>
      <c r="D122" s="11" t="s">
        <v>370</v>
      </c>
      <c r="E122" s="19" t="s">
        <v>314</v>
      </c>
      <c r="F122" s="14" t="s">
        <v>216</v>
      </c>
      <c r="G122" s="175">
        <v>0</v>
      </c>
      <c r="H122" s="180">
        <v>72.216539999999995</v>
      </c>
      <c r="I122" s="180">
        <f>H122</f>
        <v>72.216539999999995</v>
      </c>
      <c r="J122" s="175">
        <v>40</v>
      </c>
      <c r="K122" s="175">
        <v>41.6</v>
      </c>
      <c r="L122" s="175">
        <v>43.3</v>
      </c>
    </row>
    <row r="123" spans="1:14" s="8" customFormat="1" ht="29.25" x14ac:dyDescent="0.25">
      <c r="A123" s="123"/>
      <c r="B123" s="124" t="s">
        <v>169</v>
      </c>
      <c r="C123" s="125" t="s">
        <v>170</v>
      </c>
      <c r="D123" s="124" t="s">
        <v>169</v>
      </c>
      <c r="E123" s="126"/>
      <c r="F123" s="153" t="s">
        <v>217</v>
      </c>
      <c r="G123" s="182">
        <f t="shared" ref="G123:L123" si="49">G124+G218+G214</f>
        <v>670755.94654000003</v>
      </c>
      <c r="H123" s="182">
        <f t="shared" si="49"/>
        <v>533463.61875000002</v>
      </c>
      <c r="I123" s="182">
        <f t="shared" si="49"/>
        <v>670755.94654000003</v>
      </c>
      <c r="J123" s="182">
        <f t="shared" si="49"/>
        <v>666392</v>
      </c>
      <c r="K123" s="182">
        <f t="shared" si="49"/>
        <v>559094.9</v>
      </c>
      <c r="L123" s="182">
        <f t="shared" si="49"/>
        <v>577221.9</v>
      </c>
      <c r="M123" s="8">
        <v>146942709.33999997</v>
      </c>
      <c r="N123" s="8">
        <v>37853461.719999999</v>
      </c>
    </row>
    <row r="124" spans="1:14" ht="57.75" x14ac:dyDescent="0.25">
      <c r="A124" s="154"/>
      <c r="B124" s="155" t="s">
        <v>171</v>
      </c>
      <c r="C124" s="154" t="s">
        <v>172</v>
      </c>
      <c r="D124" s="155" t="s">
        <v>173</v>
      </c>
      <c r="E124" s="156"/>
      <c r="F124" s="157" t="s">
        <v>218</v>
      </c>
      <c r="G124" s="183">
        <f t="shared" ref="G124:L124" si="50">G125+G127+G153+G202</f>
        <v>672099.05584000004</v>
      </c>
      <c r="H124" s="183">
        <f t="shared" si="50"/>
        <v>534806.72805000003</v>
      </c>
      <c r="I124" s="183">
        <f t="shared" si="50"/>
        <v>672099.05584000004</v>
      </c>
      <c r="J124" s="183">
        <f t="shared" si="50"/>
        <v>666392</v>
      </c>
      <c r="K124" s="183">
        <f t="shared" si="50"/>
        <v>559094.9</v>
      </c>
      <c r="L124" s="183">
        <f t="shared" si="50"/>
        <v>577221.9</v>
      </c>
    </row>
    <row r="125" spans="1:14" ht="72" x14ac:dyDescent="0.25">
      <c r="A125" s="119"/>
      <c r="B125" s="120" t="s">
        <v>174</v>
      </c>
      <c r="C125" s="119" t="s">
        <v>260</v>
      </c>
      <c r="D125" s="120" t="s">
        <v>174</v>
      </c>
      <c r="E125" s="121"/>
      <c r="F125" s="122" t="s">
        <v>219</v>
      </c>
      <c r="G125" s="176">
        <f>G126</f>
        <v>220600.4</v>
      </c>
      <c r="H125" s="176">
        <f t="shared" ref="H125:L125" si="51">H126</f>
        <v>202792.8</v>
      </c>
      <c r="I125" s="176">
        <f t="shared" si="51"/>
        <v>220600.4</v>
      </c>
      <c r="J125" s="176">
        <f t="shared" si="51"/>
        <v>254225.2</v>
      </c>
      <c r="K125" s="176">
        <f t="shared" si="51"/>
        <v>209318.8</v>
      </c>
      <c r="L125" s="176">
        <f t="shared" si="51"/>
        <v>218244.89999999997</v>
      </c>
    </row>
    <row r="126" spans="1:14" s="8" customFormat="1" ht="75" x14ac:dyDescent="0.25">
      <c r="A126" s="25"/>
      <c r="B126" s="11"/>
      <c r="C126" s="11" t="s">
        <v>261</v>
      </c>
      <c r="D126" s="11" t="s">
        <v>175</v>
      </c>
      <c r="E126" s="19" t="s">
        <v>371</v>
      </c>
      <c r="F126" s="14" t="s">
        <v>220</v>
      </c>
      <c r="G126" s="172">
        <v>220600.4</v>
      </c>
      <c r="H126" s="172">
        <v>202792.8</v>
      </c>
      <c r="I126" s="172">
        <f>G126</f>
        <v>220600.4</v>
      </c>
      <c r="J126" s="172">
        <v>254225.2</v>
      </c>
      <c r="K126" s="175">
        <v>209318.8</v>
      </c>
      <c r="L126" s="175">
        <v>218244.89999999997</v>
      </c>
    </row>
    <row r="127" spans="1:14" s="43" customFormat="1" ht="43.5" x14ac:dyDescent="0.25">
      <c r="A127" s="158"/>
      <c r="B127" s="120" t="s">
        <v>224</v>
      </c>
      <c r="C127" s="120" t="s">
        <v>262</v>
      </c>
      <c r="D127" s="120" t="s">
        <v>224</v>
      </c>
      <c r="E127" s="121"/>
      <c r="F127" s="122" t="s">
        <v>221</v>
      </c>
      <c r="G127" s="176">
        <f t="shared" ref="G127:L127" si="52">G128+G129+G130+G131+G132+G134+G135+G136+G137+G138+G139+G140+G133</f>
        <v>158797.76783000003</v>
      </c>
      <c r="H127" s="176">
        <f t="shared" si="52"/>
        <v>77990.539519999991</v>
      </c>
      <c r="I127" s="176">
        <f t="shared" si="52"/>
        <v>158797.76783000003</v>
      </c>
      <c r="J127" s="176">
        <f>J128+J129+J130+J131+J132+J134+J135+J136+J137+J138+J139+J140+J133</f>
        <v>81253.600000000006</v>
      </c>
      <c r="K127" s="176">
        <f>K128+K129+K130+K131+K132+K134+K135+K136+K137+K138+K139+K140+K133</f>
        <v>29504.400000000001</v>
      </c>
      <c r="L127" s="176">
        <f t="shared" si="52"/>
        <v>38042.400000000009</v>
      </c>
    </row>
    <row r="128" spans="1:14" s="43" customFormat="1" ht="90" x14ac:dyDescent="0.25">
      <c r="A128" s="41"/>
      <c r="B128" s="35"/>
      <c r="C128" s="35" t="s">
        <v>374</v>
      </c>
      <c r="D128" s="35" t="s">
        <v>375</v>
      </c>
      <c r="E128" s="42" t="s">
        <v>317</v>
      </c>
      <c r="F128" s="14" t="s">
        <v>222</v>
      </c>
      <c r="G128" s="184">
        <v>1336.8039900000001</v>
      </c>
      <c r="H128" s="184">
        <v>338.06385</v>
      </c>
      <c r="I128" s="184">
        <f>G128</f>
        <v>1336.8039900000001</v>
      </c>
      <c r="J128" s="184">
        <v>1205.5</v>
      </c>
      <c r="K128" s="184">
        <v>1205.5</v>
      </c>
      <c r="L128" s="184">
        <v>1205.5</v>
      </c>
    </row>
    <row r="129" spans="1:14" s="43" customFormat="1" ht="90" x14ac:dyDescent="0.25">
      <c r="A129" s="41"/>
      <c r="B129" s="35"/>
      <c r="C129" s="35" t="s">
        <v>376</v>
      </c>
      <c r="D129" s="35" t="s">
        <v>225</v>
      </c>
      <c r="E129" s="42" t="s">
        <v>317</v>
      </c>
      <c r="F129" s="14" t="s">
        <v>223</v>
      </c>
      <c r="G129" s="184">
        <v>67.567570000000003</v>
      </c>
      <c r="H129" s="184">
        <v>67.567570000000003</v>
      </c>
      <c r="I129" s="184">
        <f>H129</f>
        <v>67.567570000000003</v>
      </c>
      <c r="J129" s="184">
        <v>53.4</v>
      </c>
      <c r="K129" s="184">
        <v>53.4</v>
      </c>
      <c r="L129" s="184">
        <v>53.4</v>
      </c>
    </row>
    <row r="130" spans="1:14" s="43" customFormat="1" ht="75" x14ac:dyDescent="0.25">
      <c r="A130" s="41"/>
      <c r="B130" s="35"/>
      <c r="C130" s="35" t="s">
        <v>567</v>
      </c>
      <c r="D130" s="35" t="s">
        <v>588</v>
      </c>
      <c r="E130" s="42" t="s">
        <v>318</v>
      </c>
      <c r="F130" s="14" t="s">
        <v>233</v>
      </c>
      <c r="G130" s="184">
        <v>900</v>
      </c>
      <c r="H130" s="184">
        <v>900</v>
      </c>
      <c r="I130" s="184">
        <f t="shared" ref="I130:I135" si="53">G130</f>
        <v>900</v>
      </c>
      <c r="J130" s="184">
        <v>0</v>
      </c>
      <c r="K130" s="184">
        <v>0</v>
      </c>
      <c r="L130" s="184">
        <v>1000</v>
      </c>
    </row>
    <row r="131" spans="1:14" s="43" customFormat="1" ht="75" x14ac:dyDescent="0.25">
      <c r="A131" s="41"/>
      <c r="B131" s="35"/>
      <c r="C131" s="35" t="s">
        <v>377</v>
      </c>
      <c r="D131" s="35" t="s">
        <v>378</v>
      </c>
      <c r="E131" s="42" t="s">
        <v>318</v>
      </c>
      <c r="F131" s="14" t="s">
        <v>249</v>
      </c>
      <c r="G131" s="184">
        <v>7556.5753000000004</v>
      </c>
      <c r="H131" s="184">
        <v>3042.44632</v>
      </c>
      <c r="I131" s="184">
        <f t="shared" si="53"/>
        <v>7556.5753000000004</v>
      </c>
      <c r="J131" s="184">
        <v>7934.3</v>
      </c>
      <c r="K131" s="184">
        <v>7845.9</v>
      </c>
      <c r="L131" s="184">
        <v>8083</v>
      </c>
    </row>
    <row r="132" spans="1:14" s="43" customFormat="1" ht="90" x14ac:dyDescent="0.25">
      <c r="A132" s="41"/>
      <c r="B132" s="35"/>
      <c r="C132" s="35" t="s">
        <v>379</v>
      </c>
      <c r="D132" s="35" t="s">
        <v>254</v>
      </c>
      <c r="E132" s="42" t="s">
        <v>380</v>
      </c>
      <c r="F132" s="14" t="s">
        <v>250</v>
      </c>
      <c r="G132" s="184">
        <v>63000</v>
      </c>
      <c r="H132" s="184">
        <v>0</v>
      </c>
      <c r="I132" s="184">
        <f t="shared" si="53"/>
        <v>63000</v>
      </c>
      <c r="J132" s="184">
        <v>0</v>
      </c>
      <c r="K132" s="184">
        <v>0</v>
      </c>
      <c r="L132" s="184">
        <v>0</v>
      </c>
    </row>
    <row r="133" spans="1:14" s="43" customFormat="1" ht="90" x14ac:dyDescent="0.25">
      <c r="A133" s="41"/>
      <c r="B133" s="35"/>
      <c r="C133" s="35" t="s">
        <v>379</v>
      </c>
      <c r="D133" s="35" t="s">
        <v>497</v>
      </c>
      <c r="E133" s="148" t="s">
        <v>380</v>
      </c>
      <c r="F133" s="14" t="s">
        <v>251</v>
      </c>
      <c r="G133" s="184">
        <v>0</v>
      </c>
      <c r="H133" s="184">
        <v>0</v>
      </c>
      <c r="I133" s="184">
        <f t="shared" si="53"/>
        <v>0</v>
      </c>
      <c r="J133" s="184">
        <v>51612.6</v>
      </c>
      <c r="K133" s="184">
        <v>0</v>
      </c>
      <c r="L133" s="184">
        <v>0</v>
      </c>
    </row>
    <row r="134" spans="1:14" s="43" customFormat="1" ht="105" x14ac:dyDescent="0.25">
      <c r="A134" s="41"/>
      <c r="B134" s="35"/>
      <c r="C134" s="35" t="s">
        <v>381</v>
      </c>
      <c r="D134" s="35" t="s">
        <v>382</v>
      </c>
      <c r="E134" s="148" t="s">
        <v>380</v>
      </c>
      <c r="F134" s="14" t="s">
        <v>252</v>
      </c>
      <c r="G134" s="184">
        <v>9595.6</v>
      </c>
      <c r="H134" s="184">
        <v>9245.0874999999996</v>
      </c>
      <c r="I134" s="184">
        <f t="shared" si="53"/>
        <v>9595.6</v>
      </c>
      <c r="J134" s="184">
        <v>0</v>
      </c>
      <c r="K134" s="184">
        <v>0</v>
      </c>
      <c r="L134" s="184">
        <v>0</v>
      </c>
    </row>
    <row r="135" spans="1:14" s="43" customFormat="1" ht="150" x14ac:dyDescent="0.25">
      <c r="A135" s="41"/>
      <c r="B135" s="35"/>
      <c r="C135" s="35" t="s">
        <v>566</v>
      </c>
      <c r="D135" s="35" t="s">
        <v>565</v>
      </c>
      <c r="E135" s="148" t="s">
        <v>380</v>
      </c>
      <c r="F135" s="14" t="s">
        <v>253</v>
      </c>
      <c r="G135" s="184">
        <v>12900.322</v>
      </c>
      <c r="H135" s="184">
        <v>11291.995639999999</v>
      </c>
      <c r="I135" s="184">
        <f t="shared" si="53"/>
        <v>12900.322</v>
      </c>
      <c r="J135" s="184">
        <v>0</v>
      </c>
      <c r="K135" s="184">
        <v>0</v>
      </c>
      <c r="L135" s="184">
        <v>0</v>
      </c>
    </row>
    <row r="136" spans="1:14" s="43" customFormat="1" ht="15.75" x14ac:dyDescent="0.25">
      <c r="A136" s="41"/>
      <c r="B136" s="35"/>
      <c r="C136" s="35"/>
      <c r="D136" s="35"/>
      <c r="E136" s="148"/>
      <c r="F136" s="14" t="s">
        <v>255</v>
      </c>
      <c r="G136" s="184"/>
      <c r="H136" s="184"/>
      <c r="I136" s="184"/>
      <c r="J136" s="184"/>
      <c r="K136" s="184"/>
      <c r="L136" s="184"/>
    </row>
    <row r="137" spans="1:14" s="43" customFormat="1" ht="90" x14ac:dyDescent="0.25">
      <c r="A137" s="41"/>
      <c r="B137" s="35"/>
      <c r="C137" s="35" t="s">
        <v>383</v>
      </c>
      <c r="D137" s="35" t="s">
        <v>384</v>
      </c>
      <c r="E137" s="148" t="s">
        <v>380</v>
      </c>
      <c r="F137" s="14" t="s">
        <v>256</v>
      </c>
      <c r="G137" s="184">
        <v>3191.5711200000001</v>
      </c>
      <c r="H137" s="184">
        <v>2127.7140800000002</v>
      </c>
      <c r="I137" s="184">
        <f>G137</f>
        <v>3191.5711200000001</v>
      </c>
      <c r="J137" s="184">
        <v>1912.6</v>
      </c>
      <c r="K137" s="184">
        <v>2074.1999999999998</v>
      </c>
      <c r="L137" s="184">
        <v>2062.6999999999998</v>
      </c>
    </row>
    <row r="138" spans="1:14" s="55" customFormat="1" ht="120" x14ac:dyDescent="0.25">
      <c r="A138" s="41"/>
      <c r="B138" s="35"/>
      <c r="C138" s="35" t="s">
        <v>494</v>
      </c>
      <c r="D138" s="35" t="s">
        <v>571</v>
      </c>
      <c r="E138" s="42" t="s">
        <v>380</v>
      </c>
      <c r="F138" s="14" t="s">
        <v>257</v>
      </c>
      <c r="G138" s="184">
        <v>436.95600000000002</v>
      </c>
      <c r="H138" s="184">
        <v>382.48108000000002</v>
      </c>
      <c r="I138" s="184">
        <f>G138</f>
        <v>436.95600000000002</v>
      </c>
      <c r="J138" s="184">
        <v>0</v>
      </c>
      <c r="K138" s="184">
        <v>0</v>
      </c>
      <c r="L138" s="184">
        <v>0</v>
      </c>
    </row>
    <row r="139" spans="1:14" s="43" customFormat="1" ht="90" x14ac:dyDescent="0.25">
      <c r="A139" s="41"/>
      <c r="B139" s="35"/>
      <c r="C139" s="35" t="s">
        <v>385</v>
      </c>
      <c r="D139" s="35" t="s">
        <v>386</v>
      </c>
      <c r="E139" s="42" t="s">
        <v>380</v>
      </c>
      <c r="F139" s="14" t="s">
        <v>285</v>
      </c>
      <c r="G139" s="184">
        <v>5618.7068600000002</v>
      </c>
      <c r="H139" s="184">
        <f>G139</f>
        <v>5618.7068600000002</v>
      </c>
      <c r="I139" s="184">
        <v>5618.7068600000002</v>
      </c>
      <c r="J139" s="184">
        <v>4856.5</v>
      </c>
      <c r="K139" s="184">
        <v>4740.6000000000004</v>
      </c>
      <c r="L139" s="184">
        <v>5267.4</v>
      </c>
    </row>
    <row r="140" spans="1:14" s="43" customFormat="1" ht="15.75" x14ac:dyDescent="0.25">
      <c r="A140" s="52"/>
      <c r="B140" s="53" t="s">
        <v>492</v>
      </c>
      <c r="C140" s="53" t="s">
        <v>491</v>
      </c>
      <c r="D140" s="53" t="s">
        <v>492</v>
      </c>
      <c r="E140" s="54"/>
      <c r="F140" s="14" t="s">
        <v>286</v>
      </c>
      <c r="G140" s="185">
        <f>SUM(G141:G152)</f>
        <v>54193.664990000005</v>
      </c>
      <c r="H140" s="185">
        <f t="shared" ref="H140:I140" si="54">SUM(H141:H152)</f>
        <v>44976.476620000001</v>
      </c>
      <c r="I140" s="185">
        <f t="shared" si="54"/>
        <v>54193.664990000005</v>
      </c>
      <c r="J140" s="185">
        <f>SUM(J141:J152)</f>
        <v>13678.699999999999</v>
      </c>
      <c r="K140" s="185">
        <f>SUM(K141:K152)</f>
        <v>13584.800000000001</v>
      </c>
      <c r="L140" s="185">
        <f>SUM(L141:L152)</f>
        <v>20370.400000000005</v>
      </c>
      <c r="M140" s="43">
        <v>42338606.5</v>
      </c>
      <c r="N140" s="43">
        <v>17188441.07</v>
      </c>
    </row>
    <row r="141" spans="1:14" s="43" customFormat="1" ht="75" x14ac:dyDescent="0.25">
      <c r="A141" s="41"/>
      <c r="B141" s="35"/>
      <c r="C141" s="35" t="s">
        <v>263</v>
      </c>
      <c r="D141" s="37" t="s">
        <v>372</v>
      </c>
      <c r="E141" s="42" t="s">
        <v>371</v>
      </c>
      <c r="F141" s="14" t="s">
        <v>287</v>
      </c>
      <c r="G141" s="186">
        <v>9615.4</v>
      </c>
      <c r="H141" s="184">
        <v>8814.15</v>
      </c>
      <c r="I141" s="184">
        <f t="shared" ref="I141:I152" si="55">G141</f>
        <v>9615.4</v>
      </c>
      <c r="J141" s="184">
        <v>0</v>
      </c>
      <c r="K141" s="184">
        <v>0</v>
      </c>
      <c r="L141" s="184">
        <v>0</v>
      </c>
    </row>
    <row r="142" spans="1:14" s="43" customFormat="1" ht="75" x14ac:dyDescent="0.25">
      <c r="A142" s="41"/>
      <c r="B142" s="35"/>
      <c r="C142" s="35" t="s">
        <v>263</v>
      </c>
      <c r="D142" s="37" t="s">
        <v>649</v>
      </c>
      <c r="E142" s="42" t="s">
        <v>371</v>
      </c>
      <c r="F142" s="14"/>
      <c r="G142" s="186">
        <v>5000</v>
      </c>
      <c r="H142" s="184">
        <v>5000</v>
      </c>
      <c r="I142" s="184">
        <f t="shared" si="55"/>
        <v>5000</v>
      </c>
      <c r="J142" s="184">
        <v>0</v>
      </c>
      <c r="K142" s="184">
        <v>0</v>
      </c>
      <c r="L142" s="184">
        <v>0</v>
      </c>
    </row>
    <row r="143" spans="1:14" s="43" customFormat="1" ht="75" x14ac:dyDescent="0.25">
      <c r="A143" s="41"/>
      <c r="B143" s="35"/>
      <c r="C143" s="35" t="s">
        <v>263</v>
      </c>
      <c r="D143" s="37" t="s">
        <v>650</v>
      </c>
      <c r="E143" s="42" t="s">
        <v>371</v>
      </c>
      <c r="F143" s="14"/>
      <c r="G143" s="186">
        <v>6476.1</v>
      </c>
      <c r="H143" s="184">
        <v>6476.1</v>
      </c>
      <c r="I143" s="184">
        <f t="shared" si="55"/>
        <v>6476.1</v>
      </c>
      <c r="J143" s="184">
        <v>0</v>
      </c>
      <c r="K143" s="184">
        <v>0</v>
      </c>
      <c r="L143" s="184">
        <v>0</v>
      </c>
    </row>
    <row r="144" spans="1:14" s="43" customFormat="1" ht="75" x14ac:dyDescent="0.25">
      <c r="A144" s="41"/>
      <c r="B144" s="35"/>
      <c r="C144" s="35" t="s">
        <v>568</v>
      </c>
      <c r="D144" s="37" t="s">
        <v>569</v>
      </c>
      <c r="E144" s="148" t="s">
        <v>318</v>
      </c>
      <c r="F144" s="14" t="s">
        <v>288</v>
      </c>
      <c r="G144" s="186">
        <v>2266.9</v>
      </c>
      <c r="H144" s="184">
        <v>1750</v>
      </c>
      <c r="I144" s="184">
        <f t="shared" si="55"/>
        <v>2266.9</v>
      </c>
      <c r="J144" s="184">
        <v>2380.1999999999998</v>
      </c>
      <c r="K144" s="184">
        <v>2353.6999999999998</v>
      </c>
      <c r="L144" s="184">
        <v>2424.8000000000002</v>
      </c>
    </row>
    <row r="145" spans="1:15" s="43" customFormat="1" ht="75" x14ac:dyDescent="0.25">
      <c r="A145" s="41"/>
      <c r="B145" s="35"/>
      <c r="C145" s="35" t="s">
        <v>568</v>
      </c>
      <c r="D145" s="37" t="s">
        <v>591</v>
      </c>
      <c r="E145" s="148" t="s">
        <v>318</v>
      </c>
      <c r="F145" s="14" t="s">
        <v>289</v>
      </c>
      <c r="G145" s="186">
        <v>0</v>
      </c>
      <c r="H145" s="184">
        <v>0</v>
      </c>
      <c r="I145" s="184">
        <v>0</v>
      </c>
      <c r="J145" s="184">
        <v>0</v>
      </c>
      <c r="K145" s="184">
        <v>1060.3</v>
      </c>
      <c r="L145" s="184">
        <v>0</v>
      </c>
    </row>
    <row r="146" spans="1:15" s="43" customFormat="1" ht="90" x14ac:dyDescent="0.25">
      <c r="A146" s="41"/>
      <c r="B146" s="35"/>
      <c r="C146" s="35" t="s">
        <v>388</v>
      </c>
      <c r="D146" s="35" t="s">
        <v>390</v>
      </c>
      <c r="E146" s="148" t="s">
        <v>380</v>
      </c>
      <c r="F146" s="14" t="s">
        <v>291</v>
      </c>
      <c r="G146" s="186">
        <v>6377.8</v>
      </c>
      <c r="H146" s="184">
        <v>5081.2979100000002</v>
      </c>
      <c r="I146" s="184">
        <f t="shared" si="55"/>
        <v>6377.8</v>
      </c>
      <c r="J146" s="184">
        <v>0</v>
      </c>
      <c r="K146" s="184">
        <v>0</v>
      </c>
      <c r="L146" s="184">
        <v>0</v>
      </c>
    </row>
    <row r="147" spans="1:15" s="43" customFormat="1" ht="90" x14ac:dyDescent="0.25">
      <c r="A147" s="41"/>
      <c r="B147" s="35"/>
      <c r="C147" s="35" t="s">
        <v>388</v>
      </c>
      <c r="D147" s="35" t="s">
        <v>589</v>
      </c>
      <c r="E147" s="148" t="s">
        <v>380</v>
      </c>
      <c r="F147" s="14" t="s">
        <v>292</v>
      </c>
      <c r="G147" s="186">
        <v>0</v>
      </c>
      <c r="H147" s="184">
        <v>0</v>
      </c>
      <c r="I147" s="184">
        <v>0</v>
      </c>
      <c r="J147" s="184">
        <v>7365.4</v>
      </c>
      <c r="K147" s="184">
        <v>5793.1</v>
      </c>
      <c r="L147" s="184">
        <v>8158.6</v>
      </c>
    </row>
    <row r="148" spans="1:15" s="43" customFormat="1" ht="34.5" customHeight="1" x14ac:dyDescent="0.25">
      <c r="A148" s="41"/>
      <c r="B148" s="35"/>
      <c r="C148" s="35" t="s">
        <v>388</v>
      </c>
      <c r="D148" s="35" t="s">
        <v>590</v>
      </c>
      <c r="E148" s="148" t="s">
        <v>380</v>
      </c>
      <c r="F148" s="14" t="s">
        <v>293</v>
      </c>
      <c r="G148" s="186">
        <v>0</v>
      </c>
      <c r="H148" s="184">
        <v>0</v>
      </c>
      <c r="I148" s="184">
        <v>0</v>
      </c>
      <c r="J148" s="184">
        <v>741</v>
      </c>
      <c r="K148" s="184">
        <v>1185.5999999999999</v>
      </c>
      <c r="L148" s="184">
        <v>6594.9</v>
      </c>
    </row>
    <row r="149" spans="1:15" s="43" customFormat="1" ht="34.5" customHeight="1" x14ac:dyDescent="0.25">
      <c r="A149" s="41"/>
      <c r="B149" s="35"/>
      <c r="C149" s="35" t="s">
        <v>391</v>
      </c>
      <c r="D149" s="35" t="s">
        <v>592</v>
      </c>
      <c r="E149" s="42" t="s">
        <v>313</v>
      </c>
      <c r="F149" s="14" t="s">
        <v>294</v>
      </c>
      <c r="G149" s="184">
        <v>0</v>
      </c>
      <c r="H149" s="184">
        <v>0</v>
      </c>
      <c r="I149" s="184">
        <v>0</v>
      </c>
      <c r="J149" s="184">
        <v>1630.9</v>
      </c>
      <c r="K149" s="184">
        <v>1630.9</v>
      </c>
      <c r="L149" s="184">
        <v>1630.9</v>
      </c>
    </row>
    <row r="150" spans="1:15" s="43" customFormat="1" ht="60" x14ac:dyDescent="0.25">
      <c r="A150" s="41"/>
      <c r="B150" s="35"/>
      <c r="C150" s="35" t="s">
        <v>391</v>
      </c>
      <c r="D150" s="35" t="s">
        <v>570</v>
      </c>
      <c r="E150" s="42" t="s">
        <v>313</v>
      </c>
      <c r="F150" s="14" t="s">
        <v>295</v>
      </c>
      <c r="G150" s="184">
        <v>22728.164990000001</v>
      </c>
      <c r="H150" s="184">
        <v>16255.49871</v>
      </c>
      <c r="I150" s="184">
        <f t="shared" si="55"/>
        <v>22728.164990000001</v>
      </c>
      <c r="J150" s="184">
        <v>0</v>
      </c>
      <c r="K150" s="184">
        <v>0</v>
      </c>
      <c r="L150" s="184">
        <v>0</v>
      </c>
    </row>
    <row r="151" spans="1:15" s="47" customFormat="1" ht="60" x14ac:dyDescent="0.25">
      <c r="A151" s="41"/>
      <c r="B151" s="35"/>
      <c r="C151" s="35" t="s">
        <v>391</v>
      </c>
      <c r="D151" s="35" t="s">
        <v>393</v>
      </c>
      <c r="E151" s="42" t="s">
        <v>313</v>
      </c>
      <c r="F151" s="14" t="s">
        <v>427</v>
      </c>
      <c r="G151" s="184">
        <v>1558</v>
      </c>
      <c r="H151" s="184">
        <v>1428.1659999999999</v>
      </c>
      <c r="I151" s="184">
        <f t="shared" si="55"/>
        <v>1558</v>
      </c>
      <c r="J151" s="184">
        <v>1561.2</v>
      </c>
      <c r="K151" s="184">
        <v>1561.2</v>
      </c>
      <c r="L151" s="184">
        <v>1561.2</v>
      </c>
    </row>
    <row r="152" spans="1:15" s="55" customFormat="1" ht="60" x14ac:dyDescent="0.25">
      <c r="A152" s="41"/>
      <c r="B152" s="35"/>
      <c r="C152" s="35" t="s">
        <v>391</v>
      </c>
      <c r="D152" s="35" t="s">
        <v>394</v>
      </c>
      <c r="E152" s="42" t="s">
        <v>313</v>
      </c>
      <c r="F152" s="14" t="s">
        <v>428</v>
      </c>
      <c r="G152" s="184">
        <v>171.3</v>
      </c>
      <c r="H152" s="184">
        <v>171.26400000000001</v>
      </c>
      <c r="I152" s="184">
        <f t="shared" si="55"/>
        <v>171.3</v>
      </c>
      <c r="J152" s="184">
        <v>0</v>
      </c>
      <c r="K152" s="184">
        <v>0</v>
      </c>
      <c r="L152" s="184">
        <v>0</v>
      </c>
    </row>
    <row r="153" spans="1:15" s="43" customFormat="1" ht="29.25" x14ac:dyDescent="0.25">
      <c r="A153" s="138"/>
      <c r="B153" s="136" t="s">
        <v>227</v>
      </c>
      <c r="C153" s="136" t="s">
        <v>264</v>
      </c>
      <c r="D153" s="136" t="s">
        <v>227</v>
      </c>
      <c r="E153" s="137"/>
      <c r="F153" s="122" t="s">
        <v>429</v>
      </c>
      <c r="G153" s="187">
        <f>G154+G174+G183+G188+G190+G192+G194+G196+G198+G200</f>
        <v>287194.72742000001</v>
      </c>
      <c r="H153" s="187">
        <f>H154+H174+H183+H188+H190+H192+H194+H196+H198+H200+0.5</f>
        <v>250069.96654000005</v>
      </c>
      <c r="I153" s="187">
        <f t="shared" ref="I153:L153" si="56">I154+I174+I183+I188+I190+I192+I194+I196+I198+I200</f>
        <v>287194.72742000001</v>
      </c>
      <c r="J153" s="187">
        <f t="shared" si="56"/>
        <v>328647</v>
      </c>
      <c r="K153" s="187">
        <f t="shared" si="56"/>
        <v>318371.90000000002</v>
      </c>
      <c r="L153" s="187">
        <f t="shared" si="56"/>
        <v>318964.5</v>
      </c>
      <c r="M153" s="43">
        <v>328647</v>
      </c>
      <c r="N153" s="43">
        <v>318371.90000000002</v>
      </c>
      <c r="O153" s="43">
        <v>318964.5</v>
      </c>
    </row>
    <row r="154" spans="1:15" s="43" customFormat="1" ht="45" x14ac:dyDescent="0.25">
      <c r="A154" s="52"/>
      <c r="B154" s="53"/>
      <c r="C154" s="53" t="s">
        <v>415</v>
      </c>
      <c r="D154" s="53" t="s">
        <v>418</v>
      </c>
      <c r="E154" s="54"/>
      <c r="F154" s="14" t="s">
        <v>430</v>
      </c>
      <c r="G154" s="185">
        <f>SUM(G155:G173)</f>
        <v>255537.75700000001</v>
      </c>
      <c r="H154" s="185">
        <f t="shared" ref="H154:L154" si="57">SUM(H155:H173)</f>
        <v>222144.35999000003</v>
      </c>
      <c r="I154" s="185">
        <f t="shared" si="57"/>
        <v>255537.75700000001</v>
      </c>
      <c r="J154" s="185">
        <f>SUM(J155:J173)</f>
        <v>297132.40000000002</v>
      </c>
      <c r="K154" s="185">
        <f t="shared" si="57"/>
        <v>288688.80000000005</v>
      </c>
      <c r="L154" s="185">
        <f t="shared" si="57"/>
        <v>289213.60000000003</v>
      </c>
      <c r="M154" s="83">
        <f>J153-M153</f>
        <v>0</v>
      </c>
      <c r="N154" s="83">
        <f t="shared" ref="N154:O154" si="58">K153-N153</f>
        <v>0</v>
      </c>
      <c r="O154" s="83">
        <f t="shared" si="58"/>
        <v>0</v>
      </c>
    </row>
    <row r="155" spans="1:15" s="43" customFormat="1" ht="75" x14ac:dyDescent="0.25">
      <c r="A155" s="41"/>
      <c r="B155" s="35"/>
      <c r="C155" s="35" t="s">
        <v>265</v>
      </c>
      <c r="D155" s="35" t="s">
        <v>228</v>
      </c>
      <c r="E155" s="42" t="s">
        <v>371</v>
      </c>
      <c r="F155" s="14" t="s">
        <v>431</v>
      </c>
      <c r="G155" s="188">
        <v>44158.8</v>
      </c>
      <c r="H155" s="188">
        <v>43878.9</v>
      </c>
      <c r="I155" s="188">
        <f>G155</f>
        <v>44158.8</v>
      </c>
      <c r="J155" s="186">
        <v>52826.2</v>
      </c>
      <c r="K155" s="186">
        <v>44382.6</v>
      </c>
      <c r="L155" s="186">
        <v>44326.2</v>
      </c>
    </row>
    <row r="156" spans="1:15" s="43" customFormat="1" ht="75" x14ac:dyDescent="0.25">
      <c r="A156" s="41"/>
      <c r="B156" s="35"/>
      <c r="C156" s="35" t="s">
        <v>267</v>
      </c>
      <c r="D156" s="35" t="s">
        <v>396</v>
      </c>
      <c r="E156" s="42" t="s">
        <v>318</v>
      </c>
      <c r="F156" s="14" t="s">
        <v>442</v>
      </c>
      <c r="G156" s="188">
        <v>52738.9</v>
      </c>
      <c r="H156" s="188">
        <v>45663.098250000003</v>
      </c>
      <c r="I156" s="188">
        <f t="shared" ref="I156:I173" si="59">G156</f>
        <v>52738.9</v>
      </c>
      <c r="J156" s="186">
        <v>0</v>
      </c>
      <c r="K156" s="186">
        <v>0</v>
      </c>
      <c r="L156" s="186">
        <v>0</v>
      </c>
    </row>
    <row r="157" spans="1:15" s="43" customFormat="1" ht="150" x14ac:dyDescent="0.25">
      <c r="A157" s="41"/>
      <c r="B157" s="35"/>
      <c r="C157" s="35" t="s">
        <v>267</v>
      </c>
      <c r="D157" s="35" t="s">
        <v>598</v>
      </c>
      <c r="E157" s="42" t="s">
        <v>318</v>
      </c>
      <c r="F157" s="14" t="s">
        <v>443</v>
      </c>
      <c r="G157" s="188">
        <v>0</v>
      </c>
      <c r="H157" s="188">
        <v>0</v>
      </c>
      <c r="I157" s="188">
        <v>0</v>
      </c>
      <c r="J157" s="186">
        <v>11248.8</v>
      </c>
      <c r="K157" s="186">
        <v>11248.8</v>
      </c>
      <c r="L157" s="186">
        <v>11830</v>
      </c>
    </row>
    <row r="158" spans="1:15" s="43" customFormat="1" ht="135" x14ac:dyDescent="0.25">
      <c r="A158" s="41"/>
      <c r="B158" s="35"/>
      <c r="C158" s="35" t="s">
        <v>267</v>
      </c>
      <c r="D158" s="35" t="s">
        <v>397</v>
      </c>
      <c r="E158" s="42" t="s">
        <v>318</v>
      </c>
      <c r="F158" s="14" t="s">
        <v>447</v>
      </c>
      <c r="G158" s="188">
        <v>644.29999999999995</v>
      </c>
      <c r="H158" s="188">
        <v>536.91700000000003</v>
      </c>
      <c r="I158" s="188">
        <f t="shared" si="59"/>
        <v>644.29999999999995</v>
      </c>
      <c r="J158" s="186">
        <v>685.9</v>
      </c>
      <c r="K158" s="186">
        <v>685.9</v>
      </c>
      <c r="L158" s="186">
        <v>685.9</v>
      </c>
    </row>
    <row r="159" spans="1:15" s="43" customFormat="1" ht="75" x14ac:dyDescent="0.25">
      <c r="A159" s="41"/>
      <c r="B159" s="35"/>
      <c r="C159" s="35" t="s">
        <v>267</v>
      </c>
      <c r="D159" s="35" t="s">
        <v>398</v>
      </c>
      <c r="E159" s="42" t="s">
        <v>318</v>
      </c>
      <c r="F159" s="14" t="s">
        <v>450</v>
      </c>
      <c r="G159" s="188">
        <v>465.4</v>
      </c>
      <c r="H159" s="188">
        <v>387.83300000000003</v>
      </c>
      <c r="I159" s="188">
        <f t="shared" si="59"/>
        <v>465.4</v>
      </c>
      <c r="J159" s="186">
        <v>514.70000000000005</v>
      </c>
      <c r="K159" s="186">
        <v>514.70000000000005</v>
      </c>
      <c r="L159" s="186">
        <v>514.70000000000005</v>
      </c>
    </row>
    <row r="160" spans="1:15" s="43" customFormat="1" ht="75" x14ac:dyDescent="0.25">
      <c r="A160" s="41"/>
      <c r="B160" s="35"/>
      <c r="C160" s="35" t="s">
        <v>267</v>
      </c>
      <c r="D160" s="35" t="s">
        <v>399</v>
      </c>
      <c r="E160" s="42" t="s">
        <v>318</v>
      </c>
      <c r="F160" s="14" t="s">
        <v>451</v>
      </c>
      <c r="G160" s="188">
        <v>148526.79999999999</v>
      </c>
      <c r="H160" s="188">
        <v>124447.3655</v>
      </c>
      <c r="I160" s="188">
        <f t="shared" si="59"/>
        <v>148526.79999999999</v>
      </c>
      <c r="J160" s="186">
        <v>223347.7</v>
      </c>
      <c r="K160" s="186">
        <v>223347.7</v>
      </c>
      <c r="L160" s="186">
        <v>223347.7</v>
      </c>
    </row>
    <row r="161" spans="1:12" s="43" customFormat="1" ht="165" x14ac:dyDescent="0.25">
      <c r="A161" s="41"/>
      <c r="B161" s="35"/>
      <c r="C161" s="35" t="s">
        <v>267</v>
      </c>
      <c r="D161" s="35" t="s">
        <v>400</v>
      </c>
      <c r="E161" s="42" t="s">
        <v>318</v>
      </c>
      <c r="F161" s="14" t="s">
        <v>460</v>
      </c>
      <c r="G161" s="189">
        <v>400.5</v>
      </c>
      <c r="H161" s="189">
        <v>40.5</v>
      </c>
      <c r="I161" s="188">
        <f t="shared" si="59"/>
        <v>400.5</v>
      </c>
      <c r="J161" s="190">
        <v>400.5</v>
      </c>
      <c r="K161" s="190">
        <v>400.5</v>
      </c>
      <c r="L161" s="190">
        <v>400.5</v>
      </c>
    </row>
    <row r="162" spans="1:12" s="43" customFormat="1" ht="75" x14ac:dyDescent="0.25">
      <c r="A162" s="41"/>
      <c r="B162" s="35"/>
      <c r="C162" s="35" t="s">
        <v>267</v>
      </c>
      <c r="D162" s="35" t="s">
        <v>401</v>
      </c>
      <c r="E162" s="42" t="s">
        <v>318</v>
      </c>
      <c r="F162" s="14" t="s">
        <v>461</v>
      </c>
      <c r="G162" s="188">
        <v>841.2</v>
      </c>
      <c r="H162" s="188">
        <v>701</v>
      </c>
      <c r="I162" s="188">
        <f t="shared" si="59"/>
        <v>841.2</v>
      </c>
      <c r="J162" s="190">
        <v>841.2</v>
      </c>
      <c r="K162" s="190">
        <v>841.2</v>
      </c>
      <c r="L162" s="190">
        <v>841.2</v>
      </c>
    </row>
    <row r="163" spans="1:12" s="43" customFormat="1" ht="165" x14ac:dyDescent="0.25">
      <c r="A163" s="41"/>
      <c r="B163" s="35"/>
      <c r="C163" s="35" t="s">
        <v>267</v>
      </c>
      <c r="D163" s="35" t="s">
        <v>602</v>
      </c>
      <c r="E163" s="42" t="s">
        <v>318</v>
      </c>
      <c r="F163" s="14" t="s">
        <v>462</v>
      </c>
      <c r="G163" s="188">
        <v>2743.3</v>
      </c>
      <c r="H163" s="188">
        <v>2152.683</v>
      </c>
      <c r="I163" s="188">
        <f t="shared" si="59"/>
        <v>2743.3</v>
      </c>
      <c r="J163" s="190">
        <v>2652.7</v>
      </c>
      <c r="K163" s="190">
        <v>2652.7</v>
      </c>
      <c r="L163" s="190">
        <v>2652.7</v>
      </c>
    </row>
    <row r="164" spans="1:12" s="43" customFormat="1" ht="105" x14ac:dyDescent="0.25">
      <c r="A164" s="41"/>
      <c r="B164" s="35"/>
      <c r="C164" s="35" t="s">
        <v>267</v>
      </c>
      <c r="D164" s="35" t="s">
        <v>403</v>
      </c>
      <c r="E164" s="42" t="s">
        <v>318</v>
      </c>
      <c r="F164" s="14" t="s">
        <v>468</v>
      </c>
      <c r="G164" s="188">
        <v>608.20000000000005</v>
      </c>
      <c r="H164" s="188">
        <v>239.2</v>
      </c>
      <c r="I164" s="188">
        <f t="shared" si="59"/>
        <v>608.20000000000005</v>
      </c>
      <c r="J164" s="190">
        <v>608.20000000000005</v>
      </c>
      <c r="K164" s="190">
        <v>608.20000000000005</v>
      </c>
      <c r="L164" s="190">
        <v>608.20000000000005</v>
      </c>
    </row>
    <row r="165" spans="1:12" s="43" customFormat="1" ht="75" x14ac:dyDescent="0.25">
      <c r="A165" s="41"/>
      <c r="B165" s="35"/>
      <c r="C165" s="35" t="s">
        <v>269</v>
      </c>
      <c r="D165" s="35" t="s">
        <v>409</v>
      </c>
      <c r="E165" s="42" t="s">
        <v>408</v>
      </c>
      <c r="F165" s="14" t="s">
        <v>469</v>
      </c>
      <c r="G165" s="188">
        <v>3214.8</v>
      </c>
      <c r="H165" s="188">
        <v>2946.9</v>
      </c>
      <c r="I165" s="188">
        <f t="shared" si="59"/>
        <v>3214.8</v>
      </c>
      <c r="J165" s="190">
        <v>0</v>
      </c>
      <c r="K165" s="190">
        <v>0</v>
      </c>
      <c r="L165" s="190">
        <v>0</v>
      </c>
    </row>
    <row r="166" spans="1:12" s="43" customFormat="1" ht="75" x14ac:dyDescent="0.25">
      <c r="A166" s="41"/>
      <c r="B166" s="35"/>
      <c r="C166" s="35" t="s">
        <v>269</v>
      </c>
      <c r="D166" s="35" t="s">
        <v>597</v>
      </c>
      <c r="E166" s="42" t="s">
        <v>408</v>
      </c>
      <c r="F166" s="14" t="s">
        <v>470</v>
      </c>
      <c r="G166" s="188">
        <v>0</v>
      </c>
      <c r="H166" s="188">
        <v>0</v>
      </c>
      <c r="I166" s="188">
        <f t="shared" si="59"/>
        <v>0</v>
      </c>
      <c r="J166" s="190">
        <v>3758.3</v>
      </c>
      <c r="K166" s="190">
        <v>3758.3</v>
      </c>
      <c r="L166" s="190">
        <v>3758.3</v>
      </c>
    </row>
    <row r="167" spans="1:12" s="43" customFormat="1" ht="75" x14ac:dyDescent="0.25">
      <c r="A167" s="41"/>
      <c r="B167" s="35"/>
      <c r="C167" s="35" t="s">
        <v>269</v>
      </c>
      <c r="D167" s="35" t="s">
        <v>593</v>
      </c>
      <c r="E167" s="42" t="s">
        <v>408</v>
      </c>
      <c r="F167" s="14" t="s">
        <v>471</v>
      </c>
      <c r="G167" s="188">
        <v>175</v>
      </c>
      <c r="H167" s="188">
        <v>174.30624</v>
      </c>
      <c r="I167" s="188">
        <f t="shared" si="59"/>
        <v>175</v>
      </c>
      <c r="J167" s="190">
        <v>203.3</v>
      </c>
      <c r="K167" s="190">
        <v>203.3</v>
      </c>
      <c r="L167" s="190">
        <v>203.3</v>
      </c>
    </row>
    <row r="168" spans="1:12" s="43" customFormat="1" ht="90" x14ac:dyDescent="0.25">
      <c r="A168" s="41"/>
      <c r="B168" s="35"/>
      <c r="C168" s="35" t="s">
        <v>425</v>
      </c>
      <c r="D168" s="35" t="s">
        <v>426</v>
      </c>
      <c r="E168" s="42" t="s">
        <v>380</v>
      </c>
      <c r="F168" s="14" t="s">
        <v>476</v>
      </c>
      <c r="G168" s="188">
        <v>44.9</v>
      </c>
      <c r="H168" s="188">
        <v>0</v>
      </c>
      <c r="I168" s="188">
        <f t="shared" si="59"/>
        <v>44.9</v>
      </c>
      <c r="J168" s="188">
        <v>44.9</v>
      </c>
      <c r="K168" s="188">
        <v>44.9</v>
      </c>
      <c r="L168" s="188">
        <v>44.9</v>
      </c>
    </row>
    <row r="169" spans="1:12" s="43" customFormat="1" ht="120" x14ac:dyDescent="0.25">
      <c r="A169" s="41"/>
      <c r="B169" s="35"/>
      <c r="C169" s="35" t="s">
        <v>425</v>
      </c>
      <c r="D169" s="35" t="s">
        <v>572</v>
      </c>
      <c r="E169" s="42" t="s">
        <v>380</v>
      </c>
      <c r="F169" s="14" t="s">
        <v>477</v>
      </c>
      <c r="G169" s="188">
        <v>107.857</v>
      </c>
      <c r="H169" s="188">
        <v>107.857</v>
      </c>
      <c r="I169" s="188">
        <f t="shared" si="59"/>
        <v>107.857</v>
      </c>
      <c r="J169" s="188">
        <v>0</v>
      </c>
      <c r="K169" s="188">
        <v>0</v>
      </c>
      <c r="L169" s="188">
        <v>0</v>
      </c>
    </row>
    <row r="170" spans="1:12" s="43" customFormat="1" ht="60" x14ac:dyDescent="0.25">
      <c r="A170" s="41"/>
      <c r="B170" s="35"/>
      <c r="C170" s="35" t="s">
        <v>434</v>
      </c>
      <c r="D170" s="35" t="s">
        <v>437</v>
      </c>
      <c r="E170" s="42" t="s">
        <v>313</v>
      </c>
      <c r="F170" s="14" t="s">
        <v>478</v>
      </c>
      <c r="G170" s="188">
        <v>469.7</v>
      </c>
      <c r="H170" s="188">
        <v>469.7</v>
      </c>
      <c r="I170" s="188">
        <f>G170</f>
        <v>469.7</v>
      </c>
      <c r="J170" s="188">
        <v>0</v>
      </c>
      <c r="K170" s="188">
        <v>0</v>
      </c>
      <c r="L170" s="188">
        <v>0</v>
      </c>
    </row>
    <row r="171" spans="1:12" s="55" customFormat="1" ht="15.75" x14ac:dyDescent="0.25">
      <c r="A171" s="41"/>
      <c r="B171" s="35"/>
      <c r="C171" s="35"/>
      <c r="D171" s="35"/>
      <c r="E171" s="42"/>
      <c r="F171" s="14"/>
      <c r="G171" s="188"/>
      <c r="H171" s="188"/>
      <c r="I171" s="188"/>
      <c r="J171" s="188"/>
      <c r="K171" s="188"/>
      <c r="L171" s="188"/>
    </row>
    <row r="172" spans="1:12" s="55" customFormat="1" ht="60" x14ac:dyDescent="0.25">
      <c r="A172" s="41"/>
      <c r="B172" s="35"/>
      <c r="C172" s="35" t="s">
        <v>434</v>
      </c>
      <c r="D172" s="35" t="s">
        <v>435</v>
      </c>
      <c r="E172" s="42" t="s">
        <v>313</v>
      </c>
      <c r="F172" s="14" t="s">
        <v>480</v>
      </c>
      <c r="G172" s="188">
        <v>394.2</v>
      </c>
      <c r="H172" s="188">
        <v>394.2</v>
      </c>
      <c r="I172" s="188">
        <f t="shared" si="59"/>
        <v>394.2</v>
      </c>
      <c r="J172" s="188">
        <v>0</v>
      </c>
      <c r="K172" s="188">
        <v>0</v>
      </c>
      <c r="L172" s="188">
        <v>0</v>
      </c>
    </row>
    <row r="173" spans="1:12" s="43" customFormat="1" ht="90" x14ac:dyDescent="0.25">
      <c r="A173" s="41"/>
      <c r="B173" s="35"/>
      <c r="C173" s="35" t="s">
        <v>434</v>
      </c>
      <c r="D173" s="35" t="s">
        <v>436</v>
      </c>
      <c r="E173" s="42" t="s">
        <v>313</v>
      </c>
      <c r="F173" s="14" t="s">
        <v>481</v>
      </c>
      <c r="G173" s="188">
        <v>3.9</v>
      </c>
      <c r="H173" s="188">
        <v>3.9</v>
      </c>
      <c r="I173" s="188">
        <f t="shared" si="59"/>
        <v>3.9</v>
      </c>
      <c r="J173" s="188">
        <v>0</v>
      </c>
      <c r="K173" s="188">
        <v>0</v>
      </c>
      <c r="L173" s="188">
        <v>0</v>
      </c>
    </row>
    <row r="174" spans="1:12" s="43" customFormat="1" ht="75" x14ac:dyDescent="0.25">
      <c r="A174" s="52"/>
      <c r="B174" s="53"/>
      <c r="C174" s="53" t="s">
        <v>417</v>
      </c>
      <c r="D174" s="53" t="s">
        <v>416</v>
      </c>
      <c r="E174" s="54"/>
      <c r="F174" s="14" t="s">
        <v>482</v>
      </c>
      <c r="G174" s="191">
        <f>SUM(G175:G182)</f>
        <v>1033.89274</v>
      </c>
      <c r="H174" s="191">
        <f t="shared" ref="H174:L174" si="60">SUM(H175:H182)</f>
        <v>926.88927999999999</v>
      </c>
      <c r="I174" s="191">
        <f t="shared" si="60"/>
        <v>1033.89274</v>
      </c>
      <c r="J174" s="191">
        <f t="shared" si="60"/>
        <v>856.3</v>
      </c>
      <c r="K174" s="191">
        <f t="shared" si="60"/>
        <v>856.3</v>
      </c>
      <c r="L174" s="191">
        <f t="shared" si="60"/>
        <v>856.3</v>
      </c>
    </row>
    <row r="175" spans="1:12" s="43" customFormat="1" ht="75" x14ac:dyDescent="0.25">
      <c r="A175" s="41"/>
      <c r="B175" s="35"/>
      <c r="C175" s="35" t="s">
        <v>419</v>
      </c>
      <c r="D175" s="35" t="s">
        <v>407</v>
      </c>
      <c r="E175" s="42" t="s">
        <v>408</v>
      </c>
      <c r="F175" s="14" t="s">
        <v>483</v>
      </c>
      <c r="G175" s="188">
        <v>10.55818</v>
      </c>
      <c r="H175" s="188">
        <v>0</v>
      </c>
      <c r="I175" s="188">
        <f>G175</f>
        <v>10.55818</v>
      </c>
      <c r="J175" s="188">
        <v>0</v>
      </c>
      <c r="K175" s="188">
        <v>0</v>
      </c>
      <c r="L175" s="188">
        <v>0</v>
      </c>
    </row>
    <row r="176" spans="1:12" s="43" customFormat="1" ht="75" x14ac:dyDescent="0.25">
      <c r="A176" s="41"/>
      <c r="B176" s="35"/>
      <c r="C176" s="35" t="s">
        <v>419</v>
      </c>
      <c r="D176" s="35" t="s">
        <v>573</v>
      </c>
      <c r="E176" s="42" t="s">
        <v>408</v>
      </c>
      <c r="F176" s="14" t="s">
        <v>484</v>
      </c>
      <c r="G176" s="188">
        <v>475.95911999999998</v>
      </c>
      <c r="H176" s="188">
        <v>475.95911999999998</v>
      </c>
      <c r="I176" s="188">
        <f t="shared" ref="I176:I182" si="61">G176</f>
        <v>475.95911999999998</v>
      </c>
      <c r="J176" s="188">
        <v>0</v>
      </c>
      <c r="K176" s="188">
        <v>0</v>
      </c>
      <c r="L176" s="188">
        <v>0</v>
      </c>
    </row>
    <row r="177" spans="1:18" s="43" customFormat="1" ht="75" x14ac:dyDescent="0.25">
      <c r="A177" s="41"/>
      <c r="B177" s="35"/>
      <c r="C177" s="35" t="s">
        <v>419</v>
      </c>
      <c r="D177" s="35" t="s">
        <v>407</v>
      </c>
      <c r="E177" s="42" t="s">
        <v>408</v>
      </c>
      <c r="F177" s="14" t="s">
        <v>485</v>
      </c>
      <c r="G177" s="188">
        <v>0</v>
      </c>
      <c r="H177" s="188">
        <v>0</v>
      </c>
      <c r="I177" s="188">
        <f t="shared" si="61"/>
        <v>0</v>
      </c>
      <c r="J177" s="188">
        <v>0</v>
      </c>
      <c r="K177" s="188">
        <v>0</v>
      </c>
      <c r="L177" s="188">
        <v>0</v>
      </c>
    </row>
    <row r="178" spans="1:18" s="43" customFormat="1" ht="75" x14ac:dyDescent="0.25">
      <c r="A178" s="41"/>
      <c r="B178" s="35"/>
      <c r="C178" s="35" t="s">
        <v>419</v>
      </c>
      <c r="D178" s="35" t="s">
        <v>407</v>
      </c>
      <c r="E178" s="42" t="s">
        <v>408</v>
      </c>
      <c r="F178" s="14" t="s">
        <v>486</v>
      </c>
      <c r="G178" s="188">
        <v>108.89156</v>
      </c>
      <c r="H178" s="188">
        <v>22.5</v>
      </c>
      <c r="I178" s="188">
        <f t="shared" si="61"/>
        <v>108.89156</v>
      </c>
      <c r="J178" s="188">
        <v>0</v>
      </c>
      <c r="K178" s="188">
        <v>0</v>
      </c>
      <c r="L178" s="188">
        <v>0</v>
      </c>
    </row>
    <row r="179" spans="1:18" s="43" customFormat="1" ht="75" x14ac:dyDescent="0.25">
      <c r="A179" s="41"/>
      <c r="B179" s="35"/>
      <c r="C179" s="35" t="s">
        <v>419</v>
      </c>
      <c r="D179" s="35" t="s">
        <v>574</v>
      </c>
      <c r="E179" s="42" t="s">
        <v>408</v>
      </c>
      <c r="F179" s="14" t="s">
        <v>487</v>
      </c>
      <c r="G179" s="188">
        <v>2.6</v>
      </c>
      <c r="H179" s="188">
        <v>0</v>
      </c>
      <c r="I179" s="188">
        <f t="shared" si="61"/>
        <v>2.6</v>
      </c>
      <c r="J179" s="184">
        <v>0</v>
      </c>
      <c r="K179" s="184">
        <v>0</v>
      </c>
      <c r="L179" s="184">
        <v>0</v>
      </c>
    </row>
    <row r="180" spans="1:18" s="55" customFormat="1" ht="75" x14ac:dyDescent="0.25">
      <c r="A180" s="41"/>
      <c r="B180" s="35"/>
      <c r="C180" s="35" t="s">
        <v>419</v>
      </c>
      <c r="D180" s="35" t="s">
        <v>573</v>
      </c>
      <c r="E180" s="42" t="s">
        <v>408</v>
      </c>
      <c r="F180" s="14" t="s">
        <v>499</v>
      </c>
      <c r="G180" s="184">
        <v>435.88387999999998</v>
      </c>
      <c r="H180" s="184">
        <v>428.43016</v>
      </c>
      <c r="I180" s="188">
        <f t="shared" si="61"/>
        <v>435.88387999999998</v>
      </c>
      <c r="J180" s="188">
        <v>0</v>
      </c>
      <c r="K180" s="188">
        <v>0</v>
      </c>
      <c r="L180" s="188">
        <v>0</v>
      </c>
    </row>
    <row r="181" spans="1:18" s="43" customFormat="1" ht="75" x14ac:dyDescent="0.25">
      <c r="A181" s="41"/>
      <c r="B181" s="35"/>
      <c r="C181" s="35" t="s">
        <v>504</v>
      </c>
      <c r="D181" s="35" t="s">
        <v>573</v>
      </c>
      <c r="E181" s="42" t="s">
        <v>408</v>
      </c>
      <c r="F181" s="14" t="s">
        <v>500</v>
      </c>
      <c r="G181" s="184">
        <v>0</v>
      </c>
      <c r="H181" s="184">
        <v>0</v>
      </c>
      <c r="I181" s="188">
        <f t="shared" si="61"/>
        <v>0</v>
      </c>
      <c r="J181" s="188">
        <v>0</v>
      </c>
      <c r="K181" s="188">
        <v>0</v>
      </c>
      <c r="L181" s="188">
        <v>0</v>
      </c>
    </row>
    <row r="182" spans="1:18" s="43" customFormat="1" ht="75" x14ac:dyDescent="0.25">
      <c r="A182" s="41"/>
      <c r="B182" s="35"/>
      <c r="C182" s="35" t="s">
        <v>504</v>
      </c>
      <c r="D182" s="35" t="s">
        <v>594</v>
      </c>
      <c r="E182" s="42" t="s">
        <v>408</v>
      </c>
      <c r="F182" s="14" t="s">
        <v>503</v>
      </c>
      <c r="G182" s="184">
        <v>0</v>
      </c>
      <c r="H182" s="184">
        <v>0</v>
      </c>
      <c r="I182" s="188">
        <f t="shared" si="61"/>
        <v>0</v>
      </c>
      <c r="J182" s="188">
        <v>856.3</v>
      </c>
      <c r="K182" s="188">
        <v>856.3</v>
      </c>
      <c r="L182" s="188">
        <v>856.3</v>
      </c>
    </row>
    <row r="183" spans="1:18" s="43" customFormat="1" ht="90" x14ac:dyDescent="0.25">
      <c r="A183" s="52"/>
      <c r="B183" s="53"/>
      <c r="C183" s="53" t="s">
        <v>422</v>
      </c>
      <c r="D183" s="53" t="s">
        <v>421</v>
      </c>
      <c r="E183" s="54"/>
      <c r="F183" s="14" t="s">
        <v>608</v>
      </c>
      <c r="G183" s="185">
        <f>G184+G186+G187+G185</f>
        <v>2307.2416800000001</v>
      </c>
      <c r="H183" s="185">
        <f t="shared" ref="H183:L183" si="62">H184+H186+H187+H185</f>
        <v>1680.4119500000002</v>
      </c>
      <c r="I183" s="185">
        <f t="shared" si="62"/>
        <v>2307.2416800000001</v>
      </c>
      <c r="J183" s="185">
        <f t="shared" si="62"/>
        <v>5383.0999999999995</v>
      </c>
      <c r="K183" s="185">
        <f t="shared" si="62"/>
        <v>5505.5999999999995</v>
      </c>
      <c r="L183" s="185">
        <f t="shared" si="62"/>
        <v>5527.7999999999993</v>
      </c>
    </row>
    <row r="184" spans="1:18" s="43" customFormat="1" ht="75" x14ac:dyDescent="0.25">
      <c r="A184" s="41"/>
      <c r="B184" s="35"/>
      <c r="C184" s="35" t="s">
        <v>424</v>
      </c>
      <c r="D184" s="35" t="s">
        <v>595</v>
      </c>
      <c r="E184" s="42" t="s">
        <v>408</v>
      </c>
      <c r="F184" s="14" t="s">
        <v>609</v>
      </c>
      <c r="G184" s="184">
        <v>309.68687</v>
      </c>
      <c r="H184" s="184">
        <v>204.60902999999999</v>
      </c>
      <c r="I184" s="184">
        <f>G184</f>
        <v>309.68687</v>
      </c>
      <c r="J184" s="188">
        <v>610.70000000000005</v>
      </c>
      <c r="K184" s="188">
        <v>610.70000000000005</v>
      </c>
      <c r="L184" s="188">
        <v>610.70000000000005</v>
      </c>
      <c r="R184" s="43">
        <v>15</v>
      </c>
    </row>
    <row r="185" spans="1:18" s="43" customFormat="1" ht="75" x14ac:dyDescent="0.25">
      <c r="A185" s="41"/>
      <c r="B185" s="35"/>
      <c r="C185" s="35" t="s">
        <v>424</v>
      </c>
      <c r="D185" s="35" t="s">
        <v>596</v>
      </c>
      <c r="E185" s="42" t="s">
        <v>408</v>
      </c>
      <c r="F185" s="14" t="s">
        <v>610</v>
      </c>
      <c r="G185" s="184">
        <v>0</v>
      </c>
      <c r="H185" s="184">
        <v>0</v>
      </c>
      <c r="I185" s="184">
        <v>0</v>
      </c>
      <c r="J185" s="188">
        <v>139.5</v>
      </c>
      <c r="K185" s="188">
        <v>139.5</v>
      </c>
      <c r="L185" s="188">
        <v>161.69999999999999</v>
      </c>
    </row>
    <row r="186" spans="1:18" s="43" customFormat="1" ht="75" x14ac:dyDescent="0.25">
      <c r="A186" s="41"/>
      <c r="B186" s="35"/>
      <c r="C186" s="35" t="s">
        <v>424</v>
      </c>
      <c r="D186" s="35" t="s">
        <v>414</v>
      </c>
      <c r="E186" s="42" t="s">
        <v>408</v>
      </c>
      <c r="F186" s="14" t="s">
        <v>611</v>
      </c>
      <c r="G186" s="184">
        <v>1916.51081</v>
      </c>
      <c r="H186" s="184">
        <v>1394.75892</v>
      </c>
      <c r="I186" s="184">
        <f t="shared" ref="I186:I187" si="63">G186</f>
        <v>1916.51081</v>
      </c>
      <c r="J186" s="188">
        <v>2098.6999999999998</v>
      </c>
      <c r="K186" s="188">
        <v>2098.6999999999998</v>
      </c>
      <c r="L186" s="188">
        <v>2098.6999999999998</v>
      </c>
    </row>
    <row r="187" spans="1:18" s="43" customFormat="1" ht="75" x14ac:dyDescent="0.25">
      <c r="A187" s="41"/>
      <c r="B187" s="35"/>
      <c r="C187" s="35" t="s">
        <v>424</v>
      </c>
      <c r="D187" s="35" t="s">
        <v>575</v>
      </c>
      <c r="E187" s="42" t="s">
        <v>408</v>
      </c>
      <c r="F187" s="14" t="s">
        <v>612</v>
      </c>
      <c r="G187" s="184">
        <v>81.043999999999997</v>
      </c>
      <c r="H187" s="184">
        <v>81.043999999999997</v>
      </c>
      <c r="I187" s="184">
        <f t="shared" si="63"/>
        <v>81.043999999999997</v>
      </c>
      <c r="J187" s="188">
        <v>2534.1999999999998</v>
      </c>
      <c r="K187" s="188">
        <v>2656.7</v>
      </c>
      <c r="L187" s="188">
        <v>2656.7</v>
      </c>
    </row>
    <row r="188" spans="1:18" s="55" customFormat="1" ht="90" x14ac:dyDescent="0.25">
      <c r="A188" s="52"/>
      <c r="B188" s="53"/>
      <c r="C188" s="53" t="s">
        <v>576</v>
      </c>
      <c r="D188" s="53" t="s">
        <v>432</v>
      </c>
      <c r="E188" s="54"/>
      <c r="F188" s="14" t="s">
        <v>613</v>
      </c>
      <c r="G188" s="185">
        <f>G189</f>
        <v>13530</v>
      </c>
      <c r="H188" s="185">
        <f t="shared" ref="H188:L188" si="64">H189</f>
        <v>12621.53595</v>
      </c>
      <c r="I188" s="185">
        <f t="shared" si="64"/>
        <v>13530</v>
      </c>
      <c r="J188" s="185">
        <f t="shared" si="64"/>
        <v>15990</v>
      </c>
      <c r="K188" s="185">
        <f t="shared" si="64"/>
        <v>15990</v>
      </c>
      <c r="L188" s="185">
        <f t="shared" si="64"/>
        <v>15990</v>
      </c>
    </row>
    <row r="189" spans="1:18" s="43" customFormat="1" ht="90" x14ac:dyDescent="0.25">
      <c r="A189" s="41"/>
      <c r="B189" s="35"/>
      <c r="C189" s="35" t="s">
        <v>433</v>
      </c>
      <c r="D189" s="35" t="s">
        <v>577</v>
      </c>
      <c r="E189" s="42" t="s">
        <v>380</v>
      </c>
      <c r="F189" s="14" t="s">
        <v>614</v>
      </c>
      <c r="G189" s="184">
        <v>13530</v>
      </c>
      <c r="H189" s="184">
        <v>12621.53595</v>
      </c>
      <c r="I189" s="184">
        <f>G189</f>
        <v>13530</v>
      </c>
      <c r="J189" s="184">
        <v>15990</v>
      </c>
      <c r="K189" s="184">
        <v>15990</v>
      </c>
      <c r="L189" s="184">
        <v>15990</v>
      </c>
    </row>
    <row r="190" spans="1:18" s="55" customFormat="1" ht="105" x14ac:dyDescent="0.25">
      <c r="A190" s="52"/>
      <c r="B190" s="53"/>
      <c r="C190" s="53" t="s">
        <v>580</v>
      </c>
      <c r="D190" s="53" t="s">
        <v>578</v>
      </c>
      <c r="E190" s="54"/>
      <c r="F190" s="14" t="s">
        <v>615</v>
      </c>
      <c r="G190" s="185">
        <f>G191</f>
        <v>951.33600000000001</v>
      </c>
      <c r="H190" s="185">
        <f t="shared" ref="H190:L190" si="65">H191</f>
        <v>951.33600000000001</v>
      </c>
      <c r="I190" s="185">
        <f t="shared" si="65"/>
        <v>951.33600000000001</v>
      </c>
      <c r="J190" s="185">
        <f t="shared" si="65"/>
        <v>1039.9000000000001</v>
      </c>
      <c r="K190" s="185">
        <f t="shared" si="65"/>
        <v>0</v>
      </c>
      <c r="L190" s="185">
        <f t="shared" si="65"/>
        <v>0</v>
      </c>
    </row>
    <row r="191" spans="1:18" s="43" customFormat="1" ht="90" x14ac:dyDescent="0.25">
      <c r="A191" s="41"/>
      <c r="B191" s="35"/>
      <c r="C191" s="35" t="s">
        <v>579</v>
      </c>
      <c r="D191" s="35" t="s">
        <v>578</v>
      </c>
      <c r="E191" s="42" t="s">
        <v>380</v>
      </c>
      <c r="F191" s="14" t="s">
        <v>616</v>
      </c>
      <c r="G191" s="184">
        <v>951.33600000000001</v>
      </c>
      <c r="H191" s="184">
        <v>951.33600000000001</v>
      </c>
      <c r="I191" s="184">
        <f>G191</f>
        <v>951.33600000000001</v>
      </c>
      <c r="J191" s="184">
        <v>1039.9000000000001</v>
      </c>
      <c r="K191" s="184">
        <v>0</v>
      </c>
      <c r="L191" s="184">
        <v>0</v>
      </c>
    </row>
    <row r="192" spans="1:18" s="55" customFormat="1" ht="135" x14ac:dyDescent="0.25">
      <c r="A192" s="52"/>
      <c r="B192" s="53"/>
      <c r="C192" s="53" t="s">
        <v>581</v>
      </c>
      <c r="D192" s="53" t="s">
        <v>404</v>
      </c>
      <c r="E192" s="54"/>
      <c r="F192" s="14" t="s">
        <v>617</v>
      </c>
      <c r="G192" s="185">
        <f>G193</f>
        <v>1980.3</v>
      </c>
      <c r="H192" s="185">
        <f t="shared" ref="H192:L192" si="66">H193</f>
        <v>1653.1079999999999</v>
      </c>
      <c r="I192" s="185">
        <f t="shared" si="66"/>
        <v>1980.3</v>
      </c>
      <c r="J192" s="185">
        <f t="shared" si="66"/>
        <v>1672.9</v>
      </c>
      <c r="K192" s="185">
        <f t="shared" si="66"/>
        <v>1672.9</v>
      </c>
      <c r="L192" s="185">
        <f t="shared" si="66"/>
        <v>1672.9</v>
      </c>
    </row>
    <row r="193" spans="1:15" s="43" customFormat="1" ht="120" x14ac:dyDescent="0.25">
      <c r="A193" s="41"/>
      <c r="B193" s="35"/>
      <c r="C193" s="35" t="s">
        <v>268</v>
      </c>
      <c r="D193" s="35" t="s">
        <v>404</v>
      </c>
      <c r="E193" s="42" t="s">
        <v>318</v>
      </c>
      <c r="F193" s="14" t="s">
        <v>618</v>
      </c>
      <c r="G193" s="188">
        <v>1980.3</v>
      </c>
      <c r="H193" s="188">
        <v>1653.1079999999999</v>
      </c>
      <c r="I193" s="184">
        <f>G193</f>
        <v>1980.3</v>
      </c>
      <c r="J193" s="188">
        <v>1672.9</v>
      </c>
      <c r="K193" s="188">
        <v>1672.9</v>
      </c>
      <c r="L193" s="188">
        <v>1672.9</v>
      </c>
    </row>
    <row r="194" spans="1:15" s="55" customFormat="1" ht="90" x14ac:dyDescent="0.25">
      <c r="A194" s="52"/>
      <c r="B194" s="53"/>
      <c r="C194" s="53" t="s">
        <v>582</v>
      </c>
      <c r="D194" s="53" t="s">
        <v>406</v>
      </c>
      <c r="E194" s="54"/>
      <c r="F194" s="14" t="s">
        <v>619</v>
      </c>
      <c r="G194" s="191">
        <f>G195</f>
        <v>10520.2</v>
      </c>
      <c r="H194" s="191">
        <f t="shared" ref="H194:L194" si="67">H195</f>
        <v>8777.6253699999997</v>
      </c>
      <c r="I194" s="191">
        <f t="shared" si="67"/>
        <v>10520.2</v>
      </c>
      <c r="J194" s="191">
        <f t="shared" si="67"/>
        <v>0</v>
      </c>
      <c r="K194" s="191">
        <f t="shared" si="67"/>
        <v>0</v>
      </c>
      <c r="L194" s="191">
        <f t="shared" si="67"/>
        <v>0</v>
      </c>
    </row>
    <row r="195" spans="1:15" s="43" customFormat="1" ht="75" x14ac:dyDescent="0.25">
      <c r="A195" s="41"/>
      <c r="B195" s="35"/>
      <c r="C195" s="35" t="s">
        <v>405</v>
      </c>
      <c r="D195" s="35" t="s">
        <v>406</v>
      </c>
      <c r="E195" s="42" t="s">
        <v>318</v>
      </c>
      <c r="F195" s="14" t="s">
        <v>620</v>
      </c>
      <c r="G195" s="188">
        <v>10520.2</v>
      </c>
      <c r="H195" s="188">
        <v>8777.6253699999997</v>
      </c>
      <c r="I195" s="188">
        <f>G195</f>
        <v>10520.2</v>
      </c>
      <c r="J195" s="188">
        <v>0</v>
      </c>
      <c r="K195" s="188">
        <v>0</v>
      </c>
      <c r="L195" s="188">
        <v>0</v>
      </c>
    </row>
    <row r="196" spans="1:15" s="55" customFormat="1" ht="105" x14ac:dyDescent="0.25">
      <c r="A196" s="52"/>
      <c r="B196" s="53"/>
      <c r="C196" s="53" t="s">
        <v>583</v>
      </c>
      <c r="D196" s="53" t="s">
        <v>395</v>
      </c>
      <c r="E196" s="54"/>
      <c r="F196" s="14" t="s">
        <v>621</v>
      </c>
      <c r="G196" s="191">
        <f>G197</f>
        <v>1314.2</v>
      </c>
      <c r="H196" s="191">
        <f t="shared" ref="H196:K196" si="68">H197</f>
        <v>1314.2</v>
      </c>
      <c r="I196" s="191">
        <f t="shared" si="68"/>
        <v>1314.2</v>
      </c>
      <c r="J196" s="191">
        <f t="shared" si="68"/>
        <v>1346.8</v>
      </c>
      <c r="K196" s="191">
        <f t="shared" si="68"/>
        <v>1389.9</v>
      </c>
      <c r="L196" s="191">
        <f>L197</f>
        <v>1436.6</v>
      </c>
    </row>
    <row r="197" spans="1:15" s="47" customFormat="1" ht="105" x14ac:dyDescent="0.25">
      <c r="A197" s="41"/>
      <c r="B197" s="35"/>
      <c r="C197" s="35" t="s">
        <v>266</v>
      </c>
      <c r="D197" s="35" t="s">
        <v>395</v>
      </c>
      <c r="E197" s="42" t="s">
        <v>371</v>
      </c>
      <c r="F197" s="14" t="s">
        <v>622</v>
      </c>
      <c r="G197" s="188">
        <v>1314.2</v>
      </c>
      <c r="H197" s="188">
        <f>G197</f>
        <v>1314.2</v>
      </c>
      <c r="I197" s="188">
        <f>G197</f>
        <v>1314.2</v>
      </c>
      <c r="J197" s="184">
        <v>1346.8</v>
      </c>
      <c r="K197" s="184">
        <v>1389.9</v>
      </c>
      <c r="L197" s="184">
        <v>1436.6</v>
      </c>
    </row>
    <row r="198" spans="1:15" s="55" customFormat="1" ht="90" x14ac:dyDescent="0.25">
      <c r="A198" s="52"/>
      <c r="B198" s="53"/>
      <c r="C198" s="53" t="s">
        <v>584</v>
      </c>
      <c r="D198" s="53" t="s">
        <v>440</v>
      </c>
      <c r="E198" s="54"/>
      <c r="F198" s="14" t="s">
        <v>623</v>
      </c>
      <c r="G198" s="191">
        <f>G199</f>
        <v>19.8</v>
      </c>
      <c r="H198" s="191">
        <f t="shared" ref="H198:L198" si="69">H199</f>
        <v>0</v>
      </c>
      <c r="I198" s="191">
        <f t="shared" si="69"/>
        <v>19.8</v>
      </c>
      <c r="J198" s="191">
        <f t="shared" si="69"/>
        <v>116.5</v>
      </c>
      <c r="K198" s="191">
        <f t="shared" si="69"/>
        <v>9.3000000000000007</v>
      </c>
      <c r="L198" s="191">
        <f t="shared" si="69"/>
        <v>8.1999999999999993</v>
      </c>
    </row>
    <row r="199" spans="1:15" s="43" customFormat="1" ht="75" x14ac:dyDescent="0.25">
      <c r="A199" s="41"/>
      <c r="B199" s="35"/>
      <c r="C199" s="35" t="s">
        <v>441</v>
      </c>
      <c r="D199" s="35" t="s">
        <v>440</v>
      </c>
      <c r="E199" s="42" t="s">
        <v>313</v>
      </c>
      <c r="F199" s="14" t="s">
        <v>624</v>
      </c>
      <c r="G199" s="184">
        <v>19.8</v>
      </c>
      <c r="H199" s="184">
        <v>0</v>
      </c>
      <c r="I199" s="188">
        <f>G199</f>
        <v>19.8</v>
      </c>
      <c r="J199" s="184">
        <v>116.5</v>
      </c>
      <c r="K199" s="184">
        <v>9.3000000000000007</v>
      </c>
      <c r="L199" s="184">
        <v>8.1999999999999993</v>
      </c>
      <c r="N199" s="56">
        <v>11520.73546</v>
      </c>
      <c r="O199" s="56">
        <v>5745.5153500000006</v>
      </c>
    </row>
    <row r="200" spans="1:15" s="55" customFormat="1" ht="15.75" x14ac:dyDescent="0.25">
      <c r="A200" s="52"/>
      <c r="B200" s="53"/>
      <c r="C200" s="53" t="s">
        <v>599</v>
      </c>
      <c r="D200" s="53" t="s">
        <v>600</v>
      </c>
      <c r="E200" s="54"/>
      <c r="F200" s="14" t="s">
        <v>625</v>
      </c>
      <c r="G200" s="185">
        <f>G201</f>
        <v>0</v>
      </c>
      <c r="H200" s="185">
        <f t="shared" ref="H200:L200" si="70">H201</f>
        <v>0</v>
      </c>
      <c r="I200" s="185">
        <f t="shared" si="70"/>
        <v>0</v>
      </c>
      <c r="J200" s="185">
        <f t="shared" si="70"/>
        <v>5109.1000000000004</v>
      </c>
      <c r="K200" s="185">
        <f t="shared" si="70"/>
        <v>4259.1000000000004</v>
      </c>
      <c r="L200" s="185">
        <f t="shared" si="70"/>
        <v>4259.1000000000004</v>
      </c>
      <c r="N200" s="146"/>
      <c r="O200" s="146"/>
    </row>
    <row r="201" spans="1:15" s="43" customFormat="1" ht="75" x14ac:dyDescent="0.25">
      <c r="A201" s="41"/>
      <c r="B201" s="35"/>
      <c r="C201" s="35" t="s">
        <v>601</v>
      </c>
      <c r="D201" s="35" t="s">
        <v>600</v>
      </c>
      <c r="E201" s="42" t="s">
        <v>371</v>
      </c>
      <c r="F201" s="14" t="s">
        <v>626</v>
      </c>
      <c r="G201" s="184">
        <v>0</v>
      </c>
      <c r="H201" s="184">
        <v>0</v>
      </c>
      <c r="I201" s="188">
        <v>0</v>
      </c>
      <c r="J201" s="184">
        <v>5109.1000000000004</v>
      </c>
      <c r="K201" s="184">
        <v>4259.1000000000004</v>
      </c>
      <c r="L201" s="184">
        <v>4259.1000000000004</v>
      </c>
      <c r="N201" s="56"/>
      <c r="O201" s="56"/>
    </row>
    <row r="202" spans="1:15" s="43" customFormat="1" ht="29.25" x14ac:dyDescent="0.25">
      <c r="A202" s="138"/>
      <c r="B202" s="136" t="s">
        <v>229</v>
      </c>
      <c r="C202" s="136" t="s">
        <v>270</v>
      </c>
      <c r="D202" s="136" t="s">
        <v>229</v>
      </c>
      <c r="E202" s="137"/>
      <c r="F202" s="122" t="s">
        <v>627</v>
      </c>
      <c r="G202" s="187">
        <f>G203+G209</f>
        <v>5506.1605900000004</v>
      </c>
      <c r="H202" s="187">
        <f t="shared" ref="H202:L202" si="71">H203+H209</f>
        <v>3953.4219900000003</v>
      </c>
      <c r="I202" s="187">
        <f t="shared" si="71"/>
        <v>5506.1605900000004</v>
      </c>
      <c r="J202" s="187">
        <f t="shared" si="71"/>
        <v>2266.2000000000003</v>
      </c>
      <c r="K202" s="187">
        <f t="shared" si="71"/>
        <v>1899.8000000000002</v>
      </c>
      <c r="L202" s="187">
        <f t="shared" si="71"/>
        <v>1970.1000000000001</v>
      </c>
      <c r="N202" s="43">
        <v>5720336.1499999994</v>
      </c>
      <c r="O202" s="43">
        <v>3433841.99</v>
      </c>
    </row>
    <row r="203" spans="1:15" s="142" customFormat="1" ht="86.25" x14ac:dyDescent="0.25">
      <c r="A203" s="139"/>
      <c r="B203" s="140"/>
      <c r="C203" s="140" t="s">
        <v>586</v>
      </c>
      <c r="D203" s="140" t="s">
        <v>231</v>
      </c>
      <c r="E203" s="141"/>
      <c r="F203" s="14" t="s">
        <v>628</v>
      </c>
      <c r="G203" s="192">
        <f>G204+G205+G206+G207+G208</f>
        <v>2273.0947100000003</v>
      </c>
      <c r="H203" s="192">
        <f t="shared" ref="H203:L203" si="72">H204+H205+H206+H207+H208</f>
        <v>772.76895000000002</v>
      </c>
      <c r="I203" s="192">
        <f t="shared" si="72"/>
        <v>2273.0947100000003</v>
      </c>
      <c r="J203" s="192">
        <f t="shared" si="72"/>
        <v>2076.3000000000002</v>
      </c>
      <c r="K203" s="192">
        <f t="shared" si="72"/>
        <v>1536.7</v>
      </c>
      <c r="L203" s="192">
        <f t="shared" si="72"/>
        <v>1536.7</v>
      </c>
    </row>
    <row r="204" spans="1:15" s="43" customFormat="1" ht="75" x14ac:dyDescent="0.25">
      <c r="A204" s="41"/>
      <c r="B204" s="35"/>
      <c r="C204" s="35" t="s">
        <v>272</v>
      </c>
      <c r="D204" s="35" t="s">
        <v>231</v>
      </c>
      <c r="E204" s="42" t="s">
        <v>371</v>
      </c>
      <c r="F204" s="14" t="s">
        <v>629</v>
      </c>
      <c r="G204" s="188">
        <v>472.2</v>
      </c>
      <c r="H204" s="188">
        <v>317.91750000000002</v>
      </c>
      <c r="I204" s="184">
        <f>G204</f>
        <v>472.2</v>
      </c>
      <c r="J204" s="184">
        <v>0</v>
      </c>
      <c r="K204" s="184">
        <v>0</v>
      </c>
      <c r="L204" s="184">
        <v>0</v>
      </c>
    </row>
    <row r="205" spans="1:15" s="43" customFormat="1" ht="90" x14ac:dyDescent="0.25">
      <c r="A205" s="41"/>
      <c r="B205" s="35"/>
      <c r="C205" s="35" t="s">
        <v>444</v>
      </c>
      <c r="D205" s="35" t="s">
        <v>231</v>
      </c>
      <c r="E205" s="42" t="s">
        <v>317</v>
      </c>
      <c r="F205" s="14" t="s">
        <v>630</v>
      </c>
      <c r="G205" s="188">
        <v>101.59395000000001</v>
      </c>
      <c r="H205" s="188">
        <v>60.60145</v>
      </c>
      <c r="I205" s="184">
        <f>G205</f>
        <v>101.59395000000001</v>
      </c>
      <c r="J205" s="184">
        <v>0</v>
      </c>
      <c r="K205" s="184">
        <v>0</v>
      </c>
      <c r="L205" s="184">
        <v>0</v>
      </c>
    </row>
    <row r="206" spans="1:15" s="43" customFormat="1" ht="90" x14ac:dyDescent="0.25">
      <c r="A206" s="41"/>
      <c r="B206" s="35"/>
      <c r="C206" s="35" t="s">
        <v>446</v>
      </c>
      <c r="D206" s="35" t="s">
        <v>231</v>
      </c>
      <c r="E206" s="42" t="s">
        <v>380</v>
      </c>
      <c r="F206" s="14" t="s">
        <v>631</v>
      </c>
      <c r="G206" s="188">
        <v>1078.60076</v>
      </c>
      <c r="H206" s="188">
        <v>74.86</v>
      </c>
      <c r="I206" s="184">
        <f t="shared" ref="I206:I208" si="73">G206</f>
        <v>1078.60076</v>
      </c>
      <c r="J206" s="184">
        <v>0</v>
      </c>
      <c r="K206" s="184">
        <v>0</v>
      </c>
      <c r="L206" s="184">
        <v>0</v>
      </c>
    </row>
    <row r="207" spans="1:15" s="43" customFormat="1" ht="75" x14ac:dyDescent="0.25">
      <c r="A207" s="41"/>
      <c r="B207" s="35"/>
      <c r="C207" s="35" t="s">
        <v>448</v>
      </c>
      <c r="D207" s="35" t="s">
        <v>231</v>
      </c>
      <c r="E207" s="42" t="s">
        <v>314</v>
      </c>
      <c r="F207" s="14" t="s">
        <v>632</v>
      </c>
      <c r="G207" s="188">
        <v>101.9</v>
      </c>
      <c r="H207" s="188">
        <v>48.7</v>
      </c>
      <c r="I207" s="184">
        <f t="shared" si="73"/>
        <v>101.9</v>
      </c>
      <c r="J207" s="184">
        <v>0</v>
      </c>
      <c r="K207" s="184">
        <v>0</v>
      </c>
      <c r="L207" s="184">
        <v>0</v>
      </c>
    </row>
    <row r="208" spans="1:15" s="58" customFormat="1" ht="75" x14ac:dyDescent="0.25">
      <c r="A208" s="41"/>
      <c r="B208" s="35"/>
      <c r="C208" s="35" t="s">
        <v>449</v>
      </c>
      <c r="D208" s="35" t="s">
        <v>231</v>
      </c>
      <c r="E208" s="42" t="s">
        <v>313</v>
      </c>
      <c r="F208" s="14" t="s">
        <v>633</v>
      </c>
      <c r="G208" s="188">
        <v>518.79999999999995</v>
      </c>
      <c r="H208" s="188">
        <v>270.69</v>
      </c>
      <c r="I208" s="184">
        <f t="shared" si="73"/>
        <v>518.79999999999995</v>
      </c>
      <c r="J208" s="184">
        <v>2076.3000000000002</v>
      </c>
      <c r="K208" s="184">
        <v>1536.7</v>
      </c>
      <c r="L208" s="184">
        <v>1536.7</v>
      </c>
    </row>
    <row r="209" spans="1:16" s="58" customFormat="1" ht="72" x14ac:dyDescent="0.25">
      <c r="A209" s="44"/>
      <c r="B209" s="45"/>
      <c r="C209" s="45" t="s">
        <v>585</v>
      </c>
      <c r="D209" s="45" t="s">
        <v>230</v>
      </c>
      <c r="E209" s="46"/>
      <c r="F209" s="14" t="s">
        <v>634</v>
      </c>
      <c r="G209" s="193">
        <f>G210+G211+G213</f>
        <v>3233.0658800000001</v>
      </c>
      <c r="H209" s="193">
        <f t="shared" ref="H209:I209" si="74">H210+H211+H213</f>
        <v>3180.6530400000001</v>
      </c>
      <c r="I209" s="193">
        <f t="shared" si="74"/>
        <v>3233.0658800000001</v>
      </c>
      <c r="J209" s="193">
        <f>J210+J211+J213+J212</f>
        <v>189.9</v>
      </c>
      <c r="K209" s="193">
        <f t="shared" ref="K209:L209" si="75">K210+K211+K213+K212</f>
        <v>363.1</v>
      </c>
      <c r="L209" s="193">
        <f t="shared" si="75"/>
        <v>433.40000000000003</v>
      </c>
    </row>
    <row r="210" spans="1:16" s="43" customFormat="1" ht="94.5" x14ac:dyDescent="0.25">
      <c r="A210" s="41"/>
      <c r="B210" s="35"/>
      <c r="C210" s="35" t="s">
        <v>271</v>
      </c>
      <c r="D210" s="35" t="s">
        <v>230</v>
      </c>
      <c r="E210" s="42" t="s">
        <v>371</v>
      </c>
      <c r="F210" s="14" t="s">
        <v>635</v>
      </c>
      <c r="G210" s="184">
        <v>1010.008</v>
      </c>
      <c r="H210" s="184">
        <v>1010.008</v>
      </c>
      <c r="I210" s="184">
        <f>G210</f>
        <v>1010.008</v>
      </c>
      <c r="J210" s="184">
        <v>125.4</v>
      </c>
      <c r="K210" s="184">
        <v>298.3</v>
      </c>
      <c r="L210" s="184">
        <v>368.6</v>
      </c>
      <c r="M210" s="147" t="s">
        <v>290</v>
      </c>
    </row>
    <row r="211" spans="1:16" s="43" customFormat="1" ht="75" x14ac:dyDescent="0.25">
      <c r="A211" s="41"/>
      <c r="B211" s="35"/>
      <c r="C211" s="35" t="s">
        <v>445</v>
      </c>
      <c r="D211" s="35" t="s">
        <v>230</v>
      </c>
      <c r="E211" s="42" t="s">
        <v>318</v>
      </c>
      <c r="F211" s="14" t="s">
        <v>636</v>
      </c>
      <c r="G211" s="184">
        <v>994.36739999999998</v>
      </c>
      <c r="H211" s="184">
        <v>994.36739999999998</v>
      </c>
      <c r="I211" s="184">
        <f t="shared" ref="I211:I213" si="76">G211</f>
        <v>994.36739999999998</v>
      </c>
      <c r="J211" s="184"/>
      <c r="K211" s="184"/>
      <c r="L211" s="184"/>
    </row>
    <row r="212" spans="1:16" s="43" customFormat="1" ht="92.25" customHeight="1" x14ac:dyDescent="0.25">
      <c r="A212" s="41"/>
      <c r="B212" s="35"/>
      <c r="C212" s="35" t="s">
        <v>603</v>
      </c>
      <c r="D212" s="35" t="s">
        <v>230</v>
      </c>
      <c r="E212" s="42" t="s">
        <v>380</v>
      </c>
      <c r="F212" s="14" t="s">
        <v>637</v>
      </c>
      <c r="G212" s="184"/>
      <c r="H212" s="184"/>
      <c r="I212" s="184"/>
      <c r="J212" s="184">
        <v>64.5</v>
      </c>
      <c r="K212" s="184">
        <v>64.8</v>
      </c>
      <c r="L212" s="184">
        <v>64.8</v>
      </c>
      <c r="M212" s="385" t="s">
        <v>604</v>
      </c>
      <c r="N212" s="386"/>
      <c r="O212" s="386"/>
      <c r="P212" s="386"/>
    </row>
    <row r="213" spans="1:16" s="43" customFormat="1" ht="75" x14ac:dyDescent="0.25">
      <c r="A213" s="41"/>
      <c r="B213" s="35"/>
      <c r="C213" s="35" t="s">
        <v>452</v>
      </c>
      <c r="D213" s="35" t="s">
        <v>230</v>
      </c>
      <c r="E213" s="42" t="s">
        <v>313</v>
      </c>
      <c r="F213" s="14" t="s">
        <v>638</v>
      </c>
      <c r="G213" s="184">
        <v>1228.69048</v>
      </c>
      <c r="H213" s="184">
        <v>1176.27764</v>
      </c>
      <c r="I213" s="184">
        <f t="shared" si="76"/>
        <v>1228.69048</v>
      </c>
      <c r="J213" s="184"/>
      <c r="K213" s="184"/>
      <c r="L213" s="184"/>
    </row>
    <row r="214" spans="1:16" s="43" customFormat="1" ht="43.5" x14ac:dyDescent="0.25">
      <c r="A214" s="135"/>
      <c r="B214" s="136" t="s">
        <v>464</v>
      </c>
      <c r="C214" s="136" t="s">
        <v>463</v>
      </c>
      <c r="D214" s="136" t="s">
        <v>464</v>
      </c>
      <c r="E214" s="137"/>
      <c r="F214" s="122" t="s">
        <v>639</v>
      </c>
      <c r="G214" s="194">
        <f>G216+G217+G215</f>
        <v>247</v>
      </c>
      <c r="H214" s="194">
        <f t="shared" ref="H214:L214" si="77">H216+H217+H215</f>
        <v>247</v>
      </c>
      <c r="I214" s="194">
        <f t="shared" si="77"/>
        <v>247</v>
      </c>
      <c r="J214" s="194">
        <f t="shared" si="77"/>
        <v>0</v>
      </c>
      <c r="K214" s="194">
        <f t="shared" si="77"/>
        <v>0</v>
      </c>
      <c r="L214" s="194">
        <f t="shared" si="77"/>
        <v>0</v>
      </c>
    </row>
    <row r="215" spans="1:16" s="142" customFormat="1" ht="90" x14ac:dyDescent="0.25">
      <c r="A215" s="145"/>
      <c r="B215" s="143"/>
      <c r="C215" s="143" t="s">
        <v>587</v>
      </c>
      <c r="D215" s="144" t="s">
        <v>465</v>
      </c>
      <c r="E215" s="42" t="s">
        <v>317</v>
      </c>
      <c r="F215" s="14" t="s">
        <v>640</v>
      </c>
      <c r="G215" s="195">
        <v>40</v>
      </c>
      <c r="H215" s="195">
        <v>40</v>
      </c>
      <c r="I215" s="196">
        <f>G215</f>
        <v>40</v>
      </c>
      <c r="J215" s="195"/>
      <c r="K215" s="195"/>
      <c r="L215" s="195"/>
    </row>
    <row r="216" spans="1:16" s="47" customFormat="1" ht="75" x14ac:dyDescent="0.25">
      <c r="A216" s="48"/>
      <c r="B216" s="35"/>
      <c r="C216" s="35" t="s">
        <v>466</v>
      </c>
      <c r="D216" s="60" t="s">
        <v>465</v>
      </c>
      <c r="E216" s="42" t="s">
        <v>318</v>
      </c>
      <c r="F216" s="14" t="s">
        <v>641</v>
      </c>
      <c r="G216" s="196">
        <v>197</v>
      </c>
      <c r="H216" s="196">
        <v>197</v>
      </c>
      <c r="I216" s="196">
        <f>G216</f>
        <v>197</v>
      </c>
      <c r="J216" s="197"/>
      <c r="K216" s="197"/>
      <c r="L216" s="197"/>
    </row>
    <row r="217" spans="1:16" s="43" customFormat="1" ht="60" x14ac:dyDescent="0.25">
      <c r="A217" s="41"/>
      <c r="B217" s="35"/>
      <c r="C217" s="35" t="s">
        <v>467</v>
      </c>
      <c r="D217" s="35" t="s">
        <v>465</v>
      </c>
      <c r="E217" s="42" t="s">
        <v>313</v>
      </c>
      <c r="F217" s="14" t="s">
        <v>642</v>
      </c>
      <c r="G217" s="188">
        <v>10</v>
      </c>
      <c r="H217" s="188">
        <v>10</v>
      </c>
      <c r="I217" s="196">
        <f>G217</f>
        <v>10</v>
      </c>
      <c r="J217" s="184">
        <v>0</v>
      </c>
      <c r="K217" s="184">
        <v>0</v>
      </c>
      <c r="L217" s="184">
        <v>0</v>
      </c>
    </row>
    <row r="218" spans="1:16" s="43" customFormat="1" ht="86.25" x14ac:dyDescent="0.25">
      <c r="A218" s="138"/>
      <c r="B218" s="136" t="s">
        <v>232</v>
      </c>
      <c r="C218" s="136" t="s">
        <v>273</v>
      </c>
      <c r="D218" s="136" t="s">
        <v>232</v>
      </c>
      <c r="E218" s="137"/>
      <c r="F218" s="122" t="s">
        <v>643</v>
      </c>
      <c r="G218" s="187">
        <f>G219+G220</f>
        <v>-1590.1093000000001</v>
      </c>
      <c r="H218" s="187">
        <f t="shared" ref="H218:L218" si="78">H219+H220</f>
        <v>-1590.1093000000001</v>
      </c>
      <c r="I218" s="187">
        <f t="shared" si="78"/>
        <v>-1590.1093000000001</v>
      </c>
      <c r="J218" s="187">
        <f t="shared" si="78"/>
        <v>0</v>
      </c>
      <c r="K218" s="187">
        <f t="shared" si="78"/>
        <v>0</v>
      </c>
      <c r="L218" s="187">
        <f t="shared" si="78"/>
        <v>0</v>
      </c>
    </row>
    <row r="219" spans="1:16" s="43" customFormat="1" ht="75" x14ac:dyDescent="0.25">
      <c r="A219" s="41"/>
      <c r="B219" s="48"/>
      <c r="C219" s="48" t="s">
        <v>274</v>
      </c>
      <c r="D219" s="35" t="s">
        <v>234</v>
      </c>
      <c r="E219" s="42" t="s">
        <v>318</v>
      </c>
      <c r="F219" s="14" t="s">
        <v>644</v>
      </c>
      <c r="G219" s="184">
        <v>-1315.6466600000001</v>
      </c>
      <c r="H219" s="184">
        <v>-1315.6466600000001</v>
      </c>
      <c r="I219" s="184">
        <f>G219</f>
        <v>-1315.6466600000001</v>
      </c>
      <c r="J219" s="184">
        <v>0</v>
      </c>
      <c r="K219" s="184">
        <v>0</v>
      </c>
      <c r="L219" s="184">
        <v>0</v>
      </c>
    </row>
    <row r="220" spans="1:16" ht="60" x14ac:dyDescent="0.25">
      <c r="A220" s="41"/>
      <c r="B220" s="48"/>
      <c r="C220" s="48" t="s">
        <v>454</v>
      </c>
      <c r="D220" s="35" t="s">
        <v>234</v>
      </c>
      <c r="E220" s="42" t="s">
        <v>313</v>
      </c>
      <c r="F220" s="14" t="s">
        <v>645</v>
      </c>
      <c r="G220" s="184">
        <v>-274.46264000000002</v>
      </c>
      <c r="H220" s="184">
        <v>-274.46264000000002</v>
      </c>
      <c r="I220" s="184">
        <f>H220</f>
        <v>-274.46264000000002</v>
      </c>
      <c r="J220" s="184">
        <v>0</v>
      </c>
      <c r="K220" s="184">
        <v>0</v>
      </c>
      <c r="L220" s="184">
        <v>0</v>
      </c>
    </row>
    <row r="224" spans="1:16" x14ac:dyDescent="0.25">
      <c r="H224" s="164">
        <v>808334302.72000003</v>
      </c>
      <c r="I224" s="164">
        <v>486225110.12</v>
      </c>
    </row>
  </sheetData>
  <mergeCells count="19">
    <mergeCell ref="A1:K1"/>
    <mergeCell ref="A2:L2"/>
    <mergeCell ref="A3:L3"/>
    <mergeCell ref="D4:G4"/>
    <mergeCell ref="A5:A7"/>
    <mergeCell ref="B5:B7"/>
    <mergeCell ref="C5:D5"/>
    <mergeCell ref="E5:E7"/>
    <mergeCell ref="F5:F7"/>
    <mergeCell ref="G5:G7"/>
    <mergeCell ref="H5:H7"/>
    <mergeCell ref="I5:I7"/>
    <mergeCell ref="J5:L5"/>
    <mergeCell ref="C6:C7"/>
    <mergeCell ref="M212:P212"/>
    <mergeCell ref="D6:D7"/>
    <mergeCell ref="J6:J7"/>
    <mergeCell ref="K6:K7"/>
    <mergeCell ref="L6:L7"/>
  </mergeCells>
  <pageMargins left="0" right="0" top="0" bottom="0" header="0.31496062992125984" footer="0.31496062992125984"/>
  <pageSetup paperSize="9" scale="48" orientation="landscape" r:id="rId1"/>
  <rowBreaks count="7" manualBreakCount="7">
    <brk id="28" max="11" man="1"/>
    <brk id="46" max="11" man="1"/>
    <brk id="67" max="11" man="1"/>
    <brk id="81" max="11" man="1"/>
    <brk id="100" max="11" man="1"/>
    <brk id="111" max="11" man="1"/>
    <brk id="122" max="11" man="1"/>
  </rowBreaks>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4"/>
  <sheetViews>
    <sheetView view="pageBreakPreview" zoomScale="95" zoomScaleNormal="100" zoomScaleSheetLayoutView="95" workbookViewId="0">
      <selection activeCell="J184" sqref="J184"/>
    </sheetView>
  </sheetViews>
  <sheetFormatPr defaultRowHeight="15" x14ac:dyDescent="0.25"/>
  <cols>
    <col min="1" max="1" width="5.28515625" customWidth="1"/>
    <col min="2" max="2" width="29.85546875" customWidth="1"/>
    <col min="3" max="3" width="28" customWidth="1"/>
    <col min="4" max="4" width="56" customWidth="1"/>
    <col min="5" max="5" width="29.140625" style="162" customWidth="1"/>
    <col min="7" max="7" width="13.28515625" style="164" customWidth="1"/>
    <col min="8" max="8" width="14" style="164" customWidth="1"/>
    <col min="9" max="9" width="13.28515625" style="164" customWidth="1"/>
    <col min="10" max="10" width="12.42578125" style="164" customWidth="1"/>
    <col min="11" max="11" width="15.28515625" style="164" customWidth="1"/>
    <col min="12" max="12" width="13" style="164" customWidth="1"/>
    <col min="13" max="13" width="18.140625" customWidth="1"/>
    <col min="14" max="14" width="10.5703125" bestFit="1" customWidth="1"/>
  </cols>
  <sheetData>
    <row r="1" spans="1:16" ht="18.75" x14ac:dyDescent="0.25">
      <c r="A1" s="377" t="s">
        <v>0</v>
      </c>
      <c r="B1" s="378"/>
      <c r="C1" s="378"/>
      <c r="D1" s="378"/>
      <c r="E1" s="378"/>
      <c r="F1" s="378"/>
      <c r="G1" s="378"/>
      <c r="H1" s="378"/>
      <c r="I1" s="378"/>
      <c r="J1" s="378"/>
      <c r="K1" s="378"/>
    </row>
    <row r="2" spans="1:16" ht="18.75" x14ac:dyDescent="0.25">
      <c r="A2" s="377" t="s">
        <v>235</v>
      </c>
      <c r="B2" s="379"/>
      <c r="C2" s="379"/>
      <c r="D2" s="379"/>
      <c r="E2" s="379"/>
      <c r="F2" s="379"/>
      <c r="G2" s="379"/>
      <c r="H2" s="379"/>
      <c r="I2" s="379"/>
      <c r="J2" s="379"/>
      <c r="K2" s="379"/>
      <c r="L2" s="379"/>
    </row>
    <row r="3" spans="1:16" ht="18.75" x14ac:dyDescent="0.25">
      <c r="A3" s="377" t="s">
        <v>702</v>
      </c>
      <c r="B3" s="379"/>
      <c r="C3" s="379"/>
      <c r="D3" s="379"/>
      <c r="E3" s="379"/>
      <c r="F3" s="379"/>
      <c r="G3" s="379"/>
      <c r="H3" s="379"/>
      <c r="I3" s="379"/>
      <c r="J3" s="379"/>
      <c r="K3" s="379"/>
      <c r="L3" s="379"/>
    </row>
    <row r="4" spans="1:16" ht="29.25" customHeight="1" x14ac:dyDescent="0.25">
      <c r="A4" s="160"/>
      <c r="B4" s="163"/>
      <c r="C4" s="163"/>
      <c r="D4" s="384" t="s">
        <v>652</v>
      </c>
      <c r="E4" s="377"/>
      <c r="F4" s="377"/>
      <c r="G4" s="377"/>
      <c r="H4" s="165"/>
      <c r="I4" s="165"/>
      <c r="J4" s="165"/>
      <c r="K4" s="165"/>
      <c r="L4" s="165"/>
    </row>
    <row r="5" spans="1:16" s="106" customFormat="1" ht="11.25" x14ac:dyDescent="0.2">
      <c r="A5" s="387" t="s">
        <v>1</v>
      </c>
      <c r="B5" s="387" t="s">
        <v>2</v>
      </c>
      <c r="C5" s="387" t="s">
        <v>3</v>
      </c>
      <c r="D5" s="387"/>
      <c r="E5" s="391" t="s">
        <v>69</v>
      </c>
      <c r="F5" s="387" t="s">
        <v>4</v>
      </c>
      <c r="G5" s="389" t="s">
        <v>653</v>
      </c>
      <c r="H5" s="389" t="s">
        <v>651</v>
      </c>
      <c r="I5" s="389" t="s">
        <v>654</v>
      </c>
      <c r="J5" s="389" t="s">
        <v>5</v>
      </c>
      <c r="K5" s="389"/>
      <c r="L5" s="389"/>
    </row>
    <row r="6" spans="1:16" s="106" customFormat="1" ht="11.25" x14ac:dyDescent="0.2">
      <c r="A6" s="387"/>
      <c r="B6" s="387"/>
      <c r="C6" s="387" t="s">
        <v>6</v>
      </c>
      <c r="D6" s="387" t="s">
        <v>9</v>
      </c>
      <c r="E6" s="391"/>
      <c r="F6" s="387"/>
      <c r="G6" s="389"/>
      <c r="H6" s="392"/>
      <c r="I6" s="392"/>
      <c r="J6" s="389" t="s">
        <v>655</v>
      </c>
      <c r="K6" s="389" t="s">
        <v>656</v>
      </c>
      <c r="L6" s="389" t="s">
        <v>657</v>
      </c>
    </row>
    <row r="7" spans="1:16" s="106" customFormat="1" ht="11.25" x14ac:dyDescent="0.2">
      <c r="A7" s="387"/>
      <c r="B7" s="387"/>
      <c r="C7" s="387"/>
      <c r="D7" s="388"/>
      <c r="E7" s="391"/>
      <c r="F7" s="387"/>
      <c r="G7" s="389"/>
      <c r="H7" s="392"/>
      <c r="I7" s="392"/>
      <c r="J7" s="390"/>
      <c r="K7" s="389"/>
      <c r="L7" s="389"/>
    </row>
    <row r="8" spans="1:16" x14ac:dyDescent="0.25">
      <c r="A8" s="161">
        <v>1</v>
      </c>
      <c r="B8" s="161">
        <v>2</v>
      </c>
      <c r="C8" s="161">
        <v>3</v>
      </c>
      <c r="D8" s="161">
        <v>4</v>
      </c>
      <c r="E8" s="19">
        <v>5</v>
      </c>
      <c r="F8" s="161">
        <v>6</v>
      </c>
      <c r="G8" s="166">
        <v>7</v>
      </c>
      <c r="H8" s="166">
        <v>8</v>
      </c>
      <c r="I8" s="166">
        <v>9</v>
      </c>
      <c r="J8" s="166">
        <v>10</v>
      </c>
      <c r="K8" s="166">
        <v>11</v>
      </c>
      <c r="L8" s="166">
        <v>12</v>
      </c>
    </row>
    <row r="9" spans="1:16" s="111" customFormat="1" ht="28.5" x14ac:dyDescent="0.25">
      <c r="A9" s="107"/>
      <c r="B9" s="108" t="s">
        <v>7</v>
      </c>
      <c r="C9" s="109"/>
      <c r="D9" s="109"/>
      <c r="E9" s="130"/>
      <c r="F9" s="110" t="s">
        <v>13</v>
      </c>
      <c r="G9" s="167">
        <f t="shared" ref="G9:L9" si="0">G10+G150</f>
        <v>847172.45984000014</v>
      </c>
      <c r="H9" s="167">
        <f t="shared" si="0"/>
        <v>666756.39980000001</v>
      </c>
      <c r="I9" s="167">
        <f t="shared" si="0"/>
        <v>853395.79052400007</v>
      </c>
      <c r="J9" s="167">
        <f t="shared" si="0"/>
        <v>987767.45</v>
      </c>
      <c r="K9" s="167">
        <f t="shared" si="0"/>
        <v>930374.39999999991</v>
      </c>
      <c r="L9" s="167">
        <f t="shared" si="0"/>
        <v>949213.79999999993</v>
      </c>
    </row>
    <row r="10" spans="1:16" ht="28.5" x14ac:dyDescent="0.25">
      <c r="A10" s="112"/>
      <c r="B10" s="113" t="s">
        <v>8</v>
      </c>
      <c r="C10" s="113" t="s">
        <v>77</v>
      </c>
      <c r="D10" s="113" t="s">
        <v>8</v>
      </c>
      <c r="E10" s="126"/>
      <c r="F10" s="114" t="s">
        <v>14</v>
      </c>
      <c r="G10" s="168">
        <f t="shared" ref="G10:L10" si="1">G11+G48</f>
        <v>169242.67404000001</v>
      </c>
      <c r="H10" s="168">
        <f t="shared" si="1"/>
        <v>135149.64575</v>
      </c>
      <c r="I10" s="168">
        <f t="shared" si="1"/>
        <v>175402.79472400001</v>
      </c>
      <c r="J10" s="168">
        <f t="shared" si="1"/>
        <v>237045.05</v>
      </c>
      <c r="K10" s="168">
        <f t="shared" si="1"/>
        <v>252147</v>
      </c>
      <c r="L10" s="168">
        <f t="shared" si="1"/>
        <v>267421.59999999998</v>
      </c>
      <c r="M10" s="64"/>
      <c r="N10" s="64"/>
      <c r="O10" s="64"/>
    </row>
    <row r="11" spans="1:16" s="17" customFormat="1" ht="15.75" x14ac:dyDescent="0.25">
      <c r="A11" s="207"/>
      <c r="B11" s="205" t="s">
        <v>10</v>
      </c>
      <c r="C11" s="205"/>
      <c r="D11" s="205" t="s">
        <v>824</v>
      </c>
      <c r="E11" s="208"/>
      <c r="F11" s="122" t="s">
        <v>15</v>
      </c>
      <c r="G11" s="206">
        <f t="shared" ref="G11:L11" si="2">G12+G19+G25+G43+G37</f>
        <v>144457.75924000001</v>
      </c>
      <c r="H11" s="206">
        <f t="shared" si="2"/>
        <v>112040.97164</v>
      </c>
      <c r="I11" s="206">
        <f t="shared" si="2"/>
        <v>147982.52038</v>
      </c>
      <c r="J11" s="206">
        <f t="shared" si="2"/>
        <v>207533.34999999998</v>
      </c>
      <c r="K11" s="206">
        <f t="shared" si="2"/>
        <v>221490.5</v>
      </c>
      <c r="L11" s="206">
        <f t="shared" si="2"/>
        <v>235722.39999999997</v>
      </c>
      <c r="M11" s="209"/>
      <c r="N11" s="209"/>
    </row>
    <row r="12" spans="1:16" s="8" customFormat="1" ht="15.75" x14ac:dyDescent="0.25">
      <c r="A12" s="6"/>
      <c r="B12" s="3" t="s">
        <v>11</v>
      </c>
      <c r="C12" s="3" t="s">
        <v>78</v>
      </c>
      <c r="D12" s="3" t="s">
        <v>79</v>
      </c>
      <c r="E12" s="20"/>
      <c r="F12" s="7" t="s">
        <v>16</v>
      </c>
      <c r="G12" s="170">
        <f>G13</f>
        <v>124302.27600000001</v>
      </c>
      <c r="H12" s="170">
        <f t="shared" ref="H12:L12" si="3">H13</f>
        <v>94224.070849999989</v>
      </c>
      <c r="I12" s="170">
        <f t="shared" si="3"/>
        <v>125894.37084999998</v>
      </c>
      <c r="J12" s="170">
        <f t="shared" si="3"/>
        <v>144567.24999999997</v>
      </c>
      <c r="K12" s="170">
        <f t="shared" si="3"/>
        <v>155629.70000000001</v>
      </c>
      <c r="L12" s="170">
        <f t="shared" si="3"/>
        <v>165490.19999999998</v>
      </c>
    </row>
    <row r="13" spans="1:16" s="8" customFormat="1" ht="30" x14ac:dyDescent="0.25">
      <c r="A13" s="6"/>
      <c r="B13" s="9" t="s">
        <v>12</v>
      </c>
      <c r="C13" s="9" t="s">
        <v>68</v>
      </c>
      <c r="D13" s="9" t="s">
        <v>12</v>
      </c>
      <c r="E13" s="21"/>
      <c r="F13" s="14" t="s">
        <v>17</v>
      </c>
      <c r="G13" s="171">
        <f>G14+G15+G16+G17+G18</f>
        <v>124302.27600000001</v>
      </c>
      <c r="H13" s="171">
        <f>H14+H15+H16+H17+H18</f>
        <v>94224.070849999989</v>
      </c>
      <c r="I13" s="171">
        <f t="shared" ref="I13:L13" si="4">I14+I15+I16+I17+I18</f>
        <v>125894.37084999998</v>
      </c>
      <c r="J13" s="171">
        <f t="shared" si="4"/>
        <v>144567.24999999997</v>
      </c>
      <c r="K13" s="171">
        <f t="shared" si="4"/>
        <v>155629.70000000001</v>
      </c>
      <c r="L13" s="171">
        <f t="shared" si="4"/>
        <v>165490.19999999998</v>
      </c>
      <c r="M13" s="203"/>
      <c r="N13" s="203"/>
    </row>
    <row r="14" spans="1:16" ht="75" x14ac:dyDescent="0.25">
      <c r="A14" s="161"/>
      <c r="B14" s="4"/>
      <c r="C14" s="4" t="s">
        <v>72</v>
      </c>
      <c r="D14" s="4" t="s">
        <v>70</v>
      </c>
      <c r="E14" s="19" t="s">
        <v>71</v>
      </c>
      <c r="F14" s="5" t="s">
        <v>18</v>
      </c>
      <c r="G14" s="172">
        <v>119874.08900000001</v>
      </c>
      <c r="H14" s="172">
        <v>90458.018129999997</v>
      </c>
      <c r="I14" s="172">
        <v>121164.51813</v>
      </c>
      <c r="J14" s="172">
        <v>138999.29999999999</v>
      </c>
      <c r="K14" s="172">
        <v>149710.79999999999</v>
      </c>
      <c r="L14" s="172">
        <v>159256.4</v>
      </c>
      <c r="P14" s="64"/>
    </row>
    <row r="15" spans="1:16" ht="113.25" customHeight="1" x14ac:dyDescent="0.25">
      <c r="A15" s="161"/>
      <c r="B15" s="4"/>
      <c r="C15" s="4" t="s">
        <v>74</v>
      </c>
      <c r="D15" s="4" t="s">
        <v>73</v>
      </c>
      <c r="E15" s="19" t="s">
        <v>71</v>
      </c>
      <c r="F15" s="5" t="s">
        <v>19</v>
      </c>
      <c r="G15" s="172">
        <v>911.8</v>
      </c>
      <c r="H15" s="172">
        <v>625.97438</v>
      </c>
      <c r="I15" s="172">
        <v>859.87437999999997</v>
      </c>
      <c r="J15" s="172">
        <v>925.6</v>
      </c>
      <c r="K15" s="172">
        <v>997</v>
      </c>
      <c r="L15" s="172">
        <v>1060.5</v>
      </c>
    </row>
    <row r="16" spans="1:16" ht="45" x14ac:dyDescent="0.25">
      <c r="A16" s="161"/>
      <c r="B16" s="4"/>
      <c r="C16" s="4" t="s">
        <v>76</v>
      </c>
      <c r="D16" s="4" t="s">
        <v>75</v>
      </c>
      <c r="E16" s="19" t="s">
        <v>71</v>
      </c>
      <c r="F16" s="5" t="s">
        <v>20</v>
      </c>
      <c r="G16" s="172">
        <v>1943.7</v>
      </c>
      <c r="H16" s="172">
        <v>1292.14186</v>
      </c>
      <c r="I16" s="172">
        <v>1790.54186</v>
      </c>
      <c r="J16" s="172">
        <v>2116.9</v>
      </c>
      <c r="K16" s="172">
        <v>2280</v>
      </c>
      <c r="L16" s="172">
        <v>2425.4</v>
      </c>
    </row>
    <row r="17" spans="1:14" ht="90" x14ac:dyDescent="0.25">
      <c r="A17" s="161"/>
      <c r="B17" s="4"/>
      <c r="C17" s="4" t="s">
        <v>305</v>
      </c>
      <c r="D17" s="4" t="s">
        <v>304</v>
      </c>
      <c r="E17" s="19" t="s">
        <v>71</v>
      </c>
      <c r="F17" s="5" t="s">
        <v>278</v>
      </c>
      <c r="G17" s="172">
        <v>1572.6869999999999</v>
      </c>
      <c r="H17" s="172">
        <v>1846.847</v>
      </c>
      <c r="I17" s="172">
        <v>2078.3470000000002</v>
      </c>
      <c r="J17" s="172">
        <v>2514.0500000000002</v>
      </c>
      <c r="K17" s="172">
        <v>2629.7</v>
      </c>
      <c r="L17" s="172">
        <v>2734.9</v>
      </c>
    </row>
    <row r="18" spans="1:14" ht="45" x14ac:dyDescent="0.25">
      <c r="A18" s="161"/>
      <c r="B18" s="4"/>
      <c r="C18" s="4" t="s">
        <v>646</v>
      </c>
      <c r="D18" s="4" t="s">
        <v>647</v>
      </c>
      <c r="E18" s="19" t="s">
        <v>71</v>
      </c>
      <c r="F18" s="5"/>
      <c r="G18" s="172">
        <v>0</v>
      </c>
      <c r="H18" s="172">
        <v>1.08948</v>
      </c>
      <c r="I18" s="172">
        <f>H18</f>
        <v>1.08948</v>
      </c>
      <c r="J18" s="172">
        <v>11.4</v>
      </c>
      <c r="K18" s="172">
        <v>12.2</v>
      </c>
      <c r="L18" s="172">
        <v>13</v>
      </c>
    </row>
    <row r="19" spans="1:14" s="8" customFormat="1" ht="57" x14ac:dyDescent="0.25">
      <c r="A19" s="6"/>
      <c r="B19" s="3" t="s">
        <v>660</v>
      </c>
      <c r="C19" s="3" t="s">
        <v>661</v>
      </c>
      <c r="D19" s="3" t="s">
        <v>662</v>
      </c>
      <c r="E19" s="20"/>
      <c r="F19" s="7"/>
      <c r="G19" s="170">
        <f>G20</f>
        <v>0</v>
      </c>
      <c r="H19" s="170">
        <f t="shared" ref="H19:L19" si="5">H20</f>
        <v>0</v>
      </c>
      <c r="I19" s="170">
        <f t="shared" si="5"/>
        <v>0</v>
      </c>
      <c r="J19" s="170">
        <f t="shared" si="5"/>
        <v>20977.599999999999</v>
      </c>
      <c r="K19" s="170">
        <f t="shared" si="5"/>
        <v>21424.799999999999</v>
      </c>
      <c r="L19" s="170">
        <f t="shared" si="5"/>
        <v>23561</v>
      </c>
    </row>
    <row r="20" spans="1:14" s="17" customFormat="1" ht="75" x14ac:dyDescent="0.25">
      <c r="A20" s="30"/>
      <c r="B20" s="9" t="s">
        <v>658</v>
      </c>
      <c r="C20" s="9" t="s">
        <v>659</v>
      </c>
      <c r="D20" s="9" t="s">
        <v>658</v>
      </c>
      <c r="E20" s="21"/>
      <c r="F20" s="14" t="s">
        <v>16</v>
      </c>
      <c r="G20" s="171">
        <f>G21+G22+G23+G24</f>
        <v>0</v>
      </c>
      <c r="H20" s="171">
        <f t="shared" ref="H20:L20" si="6">H21+H22+H23+H24</f>
        <v>0</v>
      </c>
      <c r="I20" s="171">
        <f t="shared" si="6"/>
        <v>0</v>
      </c>
      <c r="J20" s="171">
        <f t="shared" si="6"/>
        <v>20977.599999999999</v>
      </c>
      <c r="K20" s="171">
        <f t="shared" si="6"/>
        <v>21424.799999999999</v>
      </c>
      <c r="L20" s="171">
        <f t="shared" si="6"/>
        <v>23561</v>
      </c>
    </row>
    <row r="21" spans="1:14" ht="75" x14ac:dyDescent="0.25">
      <c r="A21" s="161"/>
      <c r="B21" s="4"/>
      <c r="C21" s="4" t="s">
        <v>667</v>
      </c>
      <c r="D21" s="4" t="s">
        <v>663</v>
      </c>
      <c r="E21" s="19" t="s">
        <v>671</v>
      </c>
      <c r="F21" s="5"/>
      <c r="G21" s="172">
        <v>0</v>
      </c>
      <c r="H21" s="172">
        <v>0</v>
      </c>
      <c r="I21" s="172">
        <v>0</v>
      </c>
      <c r="J21" s="172">
        <v>9936</v>
      </c>
      <c r="K21" s="172">
        <v>10221.299999999999</v>
      </c>
      <c r="L21" s="172">
        <v>11268</v>
      </c>
    </row>
    <row r="22" spans="1:14" ht="90" x14ac:dyDescent="0.25">
      <c r="A22" s="161"/>
      <c r="B22" s="4"/>
      <c r="C22" s="4" t="s">
        <v>668</v>
      </c>
      <c r="D22" s="4" t="s">
        <v>664</v>
      </c>
      <c r="E22" s="19" t="s">
        <v>671</v>
      </c>
      <c r="F22" s="5"/>
      <c r="G22" s="172">
        <v>0</v>
      </c>
      <c r="H22" s="172">
        <v>0</v>
      </c>
      <c r="I22" s="172">
        <v>0</v>
      </c>
      <c r="J22" s="172">
        <v>69</v>
      </c>
      <c r="K22" s="172">
        <v>69.8</v>
      </c>
      <c r="L22" s="172">
        <v>74.900000000000006</v>
      </c>
    </row>
    <row r="23" spans="1:14" ht="75" x14ac:dyDescent="0.25">
      <c r="A23" s="161"/>
      <c r="B23" s="4"/>
      <c r="C23" s="4" t="s">
        <v>669</v>
      </c>
      <c r="D23" s="4" t="s">
        <v>665</v>
      </c>
      <c r="E23" s="19" t="s">
        <v>671</v>
      </c>
      <c r="F23" s="5"/>
      <c r="G23" s="172">
        <v>0</v>
      </c>
      <c r="H23" s="172">
        <v>0</v>
      </c>
      <c r="I23" s="172">
        <v>0</v>
      </c>
      <c r="J23" s="172">
        <v>12283</v>
      </c>
      <c r="K23" s="172">
        <v>12472.3</v>
      </c>
      <c r="L23" s="172">
        <v>13605.6</v>
      </c>
    </row>
    <row r="24" spans="1:14" ht="75" x14ac:dyDescent="0.25">
      <c r="A24" s="161"/>
      <c r="B24" s="4"/>
      <c r="C24" s="4" t="s">
        <v>670</v>
      </c>
      <c r="D24" s="4" t="s">
        <v>666</v>
      </c>
      <c r="E24" s="19" t="s">
        <v>671</v>
      </c>
      <c r="F24" s="5"/>
      <c r="G24" s="172">
        <v>0</v>
      </c>
      <c r="H24" s="172">
        <v>0</v>
      </c>
      <c r="I24" s="172">
        <v>0</v>
      </c>
      <c r="J24" s="172">
        <v>-1310.4000000000001</v>
      </c>
      <c r="K24" s="172">
        <v>-1338.6</v>
      </c>
      <c r="L24" s="172">
        <v>-1387.5</v>
      </c>
    </row>
    <row r="25" spans="1:14" ht="29.25" x14ac:dyDescent="0.25">
      <c r="A25" s="10"/>
      <c r="B25" s="12" t="s">
        <v>80</v>
      </c>
      <c r="C25" s="13" t="s">
        <v>81</v>
      </c>
      <c r="D25" s="12" t="s">
        <v>82</v>
      </c>
      <c r="E25" s="31"/>
      <c r="F25" s="7" t="s">
        <v>22</v>
      </c>
      <c r="G25" s="173">
        <f>G30+G33+G35+G26</f>
        <v>19003.58324</v>
      </c>
      <c r="H25" s="173">
        <f t="shared" ref="H25:L25" si="7">H30+H33+H35+H26</f>
        <v>16418.21658</v>
      </c>
      <c r="I25" s="173">
        <f t="shared" si="7"/>
        <v>20483.615320000001</v>
      </c>
      <c r="J25" s="173">
        <f t="shared" si="7"/>
        <v>21222.5</v>
      </c>
      <c r="K25" s="173">
        <f t="shared" si="7"/>
        <v>23118.899999999998</v>
      </c>
      <c r="L25" s="173">
        <f t="shared" si="7"/>
        <v>24843.499999999996</v>
      </c>
    </row>
    <row r="26" spans="1:14" ht="45" x14ac:dyDescent="0.25">
      <c r="A26" s="10"/>
      <c r="B26" s="15" t="s">
        <v>275</v>
      </c>
      <c r="C26" s="16" t="s">
        <v>276</v>
      </c>
      <c r="D26" s="15" t="s">
        <v>275</v>
      </c>
      <c r="E26" s="31"/>
      <c r="F26" s="14" t="s">
        <v>23</v>
      </c>
      <c r="G26" s="174">
        <f>G27+G28+G29</f>
        <v>16618.08324</v>
      </c>
      <c r="H26" s="174">
        <f t="shared" ref="H26:L26" si="8">H27+H28+H29</f>
        <v>15003.21882</v>
      </c>
      <c r="I26" s="174">
        <f t="shared" si="8"/>
        <v>18003.862584000002</v>
      </c>
      <c r="J26" s="174">
        <f>J27+J28+J29</f>
        <v>18693.5</v>
      </c>
      <c r="K26" s="174">
        <f t="shared" si="8"/>
        <v>20357.199999999997</v>
      </c>
      <c r="L26" s="174">
        <f t="shared" si="8"/>
        <v>21924.699999999997</v>
      </c>
      <c r="M26" s="164"/>
      <c r="N26" s="164"/>
    </row>
    <row r="27" spans="1:14" ht="45" x14ac:dyDescent="0.25">
      <c r="A27" s="10"/>
      <c r="B27" s="12"/>
      <c r="C27" s="10" t="s">
        <v>277</v>
      </c>
      <c r="D27" s="11" t="s">
        <v>275</v>
      </c>
      <c r="E27" s="19" t="s">
        <v>71</v>
      </c>
      <c r="F27" s="5" t="s">
        <v>24</v>
      </c>
      <c r="G27" s="175">
        <v>10487.783240000001</v>
      </c>
      <c r="H27" s="175">
        <v>9882.3375400000004</v>
      </c>
      <c r="I27" s="175">
        <f>H27/10*12</f>
        <v>11858.805048000002</v>
      </c>
      <c r="J27" s="175">
        <v>12397.4</v>
      </c>
      <c r="K27" s="175">
        <v>13500.8</v>
      </c>
      <c r="L27" s="175">
        <v>14540.3</v>
      </c>
    </row>
    <row r="28" spans="1:14" ht="75" x14ac:dyDescent="0.25">
      <c r="A28" s="10"/>
      <c r="B28" s="12"/>
      <c r="C28" s="10" t="s">
        <v>309</v>
      </c>
      <c r="D28" s="11" t="s">
        <v>308</v>
      </c>
      <c r="E28" s="19" t="s">
        <v>71</v>
      </c>
      <c r="F28" s="5" t="s">
        <v>25</v>
      </c>
      <c r="G28" s="175">
        <v>6130.3</v>
      </c>
      <c r="H28" s="175">
        <v>5122.7916100000002</v>
      </c>
      <c r="I28" s="175">
        <f>H28/10*12</f>
        <v>6147.349932000001</v>
      </c>
      <c r="J28" s="175">
        <v>6296.1</v>
      </c>
      <c r="K28" s="175">
        <v>6856.4</v>
      </c>
      <c r="L28" s="175">
        <v>7384.4</v>
      </c>
    </row>
    <row r="29" spans="1:14" ht="60" x14ac:dyDescent="0.25">
      <c r="A29" s="10"/>
      <c r="B29" s="12"/>
      <c r="C29" s="10" t="s">
        <v>508</v>
      </c>
      <c r="D29" s="11" t="s">
        <v>509</v>
      </c>
      <c r="E29" s="19" t="s">
        <v>71</v>
      </c>
      <c r="F29" s="5" t="s">
        <v>26</v>
      </c>
      <c r="G29" s="175">
        <v>0</v>
      </c>
      <c r="H29" s="175">
        <v>-1.9103300000000001</v>
      </c>
      <c r="I29" s="175">
        <v>-2.2923960000000001</v>
      </c>
      <c r="J29" s="175">
        <v>0</v>
      </c>
      <c r="K29" s="175">
        <v>0</v>
      </c>
      <c r="L29" s="175">
        <v>0</v>
      </c>
    </row>
    <row r="30" spans="1:14" s="17" customFormat="1" ht="45" x14ac:dyDescent="0.25">
      <c r="A30" s="16"/>
      <c r="B30" s="15" t="s">
        <v>101</v>
      </c>
      <c r="C30" s="16" t="s">
        <v>85</v>
      </c>
      <c r="D30" s="15" t="s">
        <v>101</v>
      </c>
      <c r="E30" s="32"/>
      <c r="F30" s="14" t="s">
        <v>26</v>
      </c>
      <c r="G30" s="174">
        <f>G31+G32</f>
        <v>0</v>
      </c>
      <c r="H30" s="174">
        <f>H31+H32</f>
        <v>-48.365099999999998</v>
      </c>
      <c r="I30" s="174">
        <f t="shared" ref="I30:L30" si="9">I31+I32</f>
        <v>-48.365099999999998</v>
      </c>
      <c r="J30" s="174">
        <f t="shared" si="9"/>
        <v>0</v>
      </c>
      <c r="K30" s="174">
        <f t="shared" si="9"/>
        <v>0</v>
      </c>
      <c r="L30" s="174">
        <f t="shared" si="9"/>
        <v>0</v>
      </c>
    </row>
    <row r="31" spans="1:14" ht="45" x14ac:dyDescent="0.25">
      <c r="A31" s="10"/>
      <c r="B31" s="10"/>
      <c r="C31" s="10" t="s">
        <v>84</v>
      </c>
      <c r="D31" s="11" t="s">
        <v>83</v>
      </c>
      <c r="E31" s="19" t="s">
        <v>71</v>
      </c>
      <c r="F31" s="14" t="s">
        <v>27</v>
      </c>
      <c r="G31" s="172">
        <v>0</v>
      </c>
      <c r="H31" s="172">
        <v>-48.473799999999997</v>
      </c>
      <c r="I31" s="172">
        <f>H31</f>
        <v>-48.473799999999997</v>
      </c>
      <c r="J31" s="175">
        <v>0</v>
      </c>
      <c r="K31" s="175">
        <v>0</v>
      </c>
      <c r="L31" s="175">
        <v>0</v>
      </c>
    </row>
    <row r="32" spans="1:14" ht="45" x14ac:dyDescent="0.25">
      <c r="A32" s="10"/>
      <c r="B32" s="10"/>
      <c r="C32" s="10" t="s">
        <v>510</v>
      </c>
      <c r="D32" s="11" t="s">
        <v>511</v>
      </c>
      <c r="E32" s="19" t="s">
        <v>71</v>
      </c>
      <c r="F32" s="14"/>
      <c r="G32" s="172">
        <v>0</v>
      </c>
      <c r="H32" s="172">
        <v>0.1087</v>
      </c>
      <c r="I32" s="172">
        <f>H32</f>
        <v>0.1087</v>
      </c>
      <c r="J32" s="175">
        <v>0</v>
      </c>
      <c r="K32" s="175">
        <v>0</v>
      </c>
      <c r="L32" s="175">
        <v>0</v>
      </c>
    </row>
    <row r="33" spans="1:15" s="17" customFormat="1" ht="45" x14ac:dyDescent="0.25">
      <c r="A33" s="16"/>
      <c r="B33" s="15" t="s">
        <v>86</v>
      </c>
      <c r="C33" s="16" t="s">
        <v>87</v>
      </c>
      <c r="D33" s="15" t="s">
        <v>86</v>
      </c>
      <c r="E33" s="32"/>
      <c r="F33" s="14" t="s">
        <v>28</v>
      </c>
      <c r="G33" s="174">
        <f>G34</f>
        <v>35</v>
      </c>
      <c r="H33" s="174">
        <f t="shared" ref="H33:L33" si="10">H34</f>
        <v>9.6815300000000004</v>
      </c>
      <c r="I33" s="174">
        <f t="shared" si="10"/>
        <v>11.617836</v>
      </c>
      <c r="J33" s="174">
        <f t="shared" si="10"/>
        <v>25</v>
      </c>
      <c r="K33" s="174">
        <f t="shared" si="10"/>
        <v>27.3</v>
      </c>
      <c r="L33" s="174">
        <f t="shared" si="10"/>
        <v>28.5</v>
      </c>
    </row>
    <row r="34" spans="1:15" ht="45" x14ac:dyDescent="0.25">
      <c r="A34" s="10"/>
      <c r="B34" s="11"/>
      <c r="C34" s="10" t="s">
        <v>88</v>
      </c>
      <c r="D34" s="11" t="s">
        <v>86</v>
      </c>
      <c r="E34" s="19" t="s">
        <v>71</v>
      </c>
      <c r="F34" s="14" t="s">
        <v>29</v>
      </c>
      <c r="G34" s="172">
        <v>35</v>
      </c>
      <c r="H34" s="172">
        <v>9.6815300000000004</v>
      </c>
      <c r="I34" s="172">
        <f>H34/10*12</f>
        <v>11.617836</v>
      </c>
      <c r="J34" s="175">
        <v>25</v>
      </c>
      <c r="K34" s="172">
        <v>27.3</v>
      </c>
      <c r="L34" s="172">
        <v>28.5</v>
      </c>
    </row>
    <row r="35" spans="1:15" s="17" customFormat="1" ht="45" x14ac:dyDescent="0.25">
      <c r="A35" s="16"/>
      <c r="B35" s="15" t="s">
        <v>89</v>
      </c>
      <c r="C35" s="16" t="s">
        <v>90</v>
      </c>
      <c r="D35" s="15" t="s">
        <v>89</v>
      </c>
      <c r="E35" s="32"/>
      <c r="F35" s="14" t="s">
        <v>30</v>
      </c>
      <c r="G35" s="174">
        <f>G36</f>
        <v>2350.5</v>
      </c>
      <c r="H35" s="174">
        <f t="shared" ref="H35:L35" si="11">H36</f>
        <v>1453.6813299999999</v>
      </c>
      <c r="I35" s="174">
        <f t="shared" si="11"/>
        <v>2516.5</v>
      </c>
      <c r="J35" s="174">
        <f t="shared" si="11"/>
        <v>2504</v>
      </c>
      <c r="K35" s="174">
        <f t="shared" si="11"/>
        <v>2734.4</v>
      </c>
      <c r="L35" s="174">
        <f t="shared" si="11"/>
        <v>2890.3</v>
      </c>
    </row>
    <row r="36" spans="1:15" ht="45" x14ac:dyDescent="0.25">
      <c r="A36" s="10"/>
      <c r="B36" s="11"/>
      <c r="C36" s="11" t="s">
        <v>685</v>
      </c>
      <c r="D36" s="11" t="s">
        <v>686</v>
      </c>
      <c r="E36" s="19" t="s">
        <v>71</v>
      </c>
      <c r="F36" s="14" t="s">
        <v>31</v>
      </c>
      <c r="G36" s="172">
        <v>2350.5</v>
      </c>
      <c r="H36" s="172">
        <v>1453.6813299999999</v>
      </c>
      <c r="I36" s="172">
        <v>2516.5</v>
      </c>
      <c r="J36" s="172">
        <v>2504</v>
      </c>
      <c r="K36" s="172">
        <v>2734.4</v>
      </c>
      <c r="L36" s="172">
        <v>2890.3</v>
      </c>
    </row>
    <row r="37" spans="1:15" s="8" customFormat="1" ht="15.75" x14ac:dyDescent="0.25">
      <c r="A37" s="13"/>
      <c r="B37" s="12" t="s">
        <v>672</v>
      </c>
      <c r="C37" s="13" t="s">
        <v>673</v>
      </c>
      <c r="D37" s="12" t="s">
        <v>674</v>
      </c>
      <c r="E37" s="20"/>
      <c r="F37" s="14"/>
      <c r="G37" s="170">
        <f>G38+G40</f>
        <v>0</v>
      </c>
      <c r="H37" s="170">
        <f t="shared" ref="H37:L37" si="12">H38+H40</f>
        <v>0</v>
      </c>
      <c r="I37" s="170">
        <f t="shared" si="12"/>
        <v>0</v>
      </c>
      <c r="J37" s="170">
        <f t="shared" si="12"/>
        <v>19294.099999999999</v>
      </c>
      <c r="K37" s="170">
        <f t="shared" si="12"/>
        <v>19778.2</v>
      </c>
      <c r="L37" s="170">
        <f t="shared" si="12"/>
        <v>20227.900000000001</v>
      </c>
    </row>
    <row r="38" spans="1:15" s="17" customFormat="1" ht="15.75" x14ac:dyDescent="0.25">
      <c r="A38" s="16"/>
      <c r="B38" s="15"/>
      <c r="C38" s="16" t="s">
        <v>675</v>
      </c>
      <c r="D38" s="15" t="s">
        <v>676</v>
      </c>
      <c r="E38" s="21"/>
      <c r="F38" s="14"/>
      <c r="G38" s="171">
        <f>G39</f>
        <v>0</v>
      </c>
      <c r="H38" s="171">
        <f t="shared" ref="H38:L38" si="13">H39</f>
        <v>0</v>
      </c>
      <c r="I38" s="171">
        <f t="shared" si="13"/>
        <v>0</v>
      </c>
      <c r="J38" s="171">
        <f t="shared" si="13"/>
        <v>8521.1</v>
      </c>
      <c r="K38" s="171">
        <f t="shared" si="13"/>
        <v>8913.1</v>
      </c>
      <c r="L38" s="171">
        <f t="shared" si="13"/>
        <v>9269.6</v>
      </c>
    </row>
    <row r="39" spans="1:15" ht="45" x14ac:dyDescent="0.25">
      <c r="A39" s="10"/>
      <c r="B39" s="11"/>
      <c r="C39" s="10" t="s">
        <v>679</v>
      </c>
      <c r="D39" s="11" t="s">
        <v>684</v>
      </c>
      <c r="E39" s="19" t="s">
        <v>71</v>
      </c>
      <c r="F39" s="14"/>
      <c r="G39" s="172">
        <v>0</v>
      </c>
      <c r="H39" s="172">
        <v>0</v>
      </c>
      <c r="I39" s="172">
        <v>0</v>
      </c>
      <c r="J39" s="172">
        <v>8521.1</v>
      </c>
      <c r="K39" s="172">
        <v>8913.1</v>
      </c>
      <c r="L39" s="172">
        <v>9269.6</v>
      </c>
    </row>
    <row r="40" spans="1:15" s="17" customFormat="1" ht="15.75" x14ac:dyDescent="0.25">
      <c r="A40" s="16"/>
      <c r="B40" s="15"/>
      <c r="C40" s="16" t="s">
        <v>677</v>
      </c>
      <c r="D40" s="15" t="s">
        <v>678</v>
      </c>
      <c r="E40" s="21"/>
      <c r="F40" s="14"/>
      <c r="G40" s="171">
        <f>G41+G42</f>
        <v>0</v>
      </c>
      <c r="H40" s="171">
        <f t="shared" ref="H40:L40" si="14">H41+H42</f>
        <v>0</v>
      </c>
      <c r="I40" s="171">
        <f t="shared" si="14"/>
        <v>0</v>
      </c>
      <c r="J40" s="171">
        <f t="shared" si="14"/>
        <v>10773</v>
      </c>
      <c r="K40" s="171">
        <f t="shared" si="14"/>
        <v>10865.1</v>
      </c>
      <c r="L40" s="171">
        <f t="shared" si="14"/>
        <v>10958.3</v>
      </c>
    </row>
    <row r="41" spans="1:15" ht="45" x14ac:dyDescent="0.25">
      <c r="A41" s="10"/>
      <c r="B41" s="11"/>
      <c r="C41" s="10" t="s">
        <v>680</v>
      </c>
      <c r="D41" s="11" t="s">
        <v>683</v>
      </c>
      <c r="E41" s="19" t="s">
        <v>71</v>
      </c>
      <c r="F41" s="14"/>
      <c r="G41" s="172">
        <v>0</v>
      </c>
      <c r="H41" s="172">
        <v>0</v>
      </c>
      <c r="I41" s="172">
        <v>0</v>
      </c>
      <c r="J41" s="172">
        <v>1958.4</v>
      </c>
      <c r="K41" s="172">
        <v>1975.6</v>
      </c>
      <c r="L41" s="172">
        <v>1992.4</v>
      </c>
    </row>
    <row r="42" spans="1:15" ht="45" x14ac:dyDescent="0.25">
      <c r="A42" s="10"/>
      <c r="B42" s="11"/>
      <c r="C42" s="10" t="s">
        <v>681</v>
      </c>
      <c r="D42" s="11" t="s">
        <v>682</v>
      </c>
      <c r="E42" s="19" t="s">
        <v>71</v>
      </c>
      <c r="F42" s="14"/>
      <c r="G42" s="172">
        <v>0</v>
      </c>
      <c r="H42" s="172">
        <v>0</v>
      </c>
      <c r="I42" s="172">
        <v>0</v>
      </c>
      <c r="J42" s="172">
        <v>8814.6</v>
      </c>
      <c r="K42" s="172">
        <v>8889.5</v>
      </c>
      <c r="L42" s="172">
        <v>8965.9</v>
      </c>
    </row>
    <row r="43" spans="1:15" s="8" customFormat="1" ht="15.75" x14ac:dyDescent="0.25">
      <c r="A43" s="13"/>
      <c r="B43" s="12" t="s">
        <v>93</v>
      </c>
      <c r="C43" s="13" t="s">
        <v>97</v>
      </c>
      <c r="D43" s="12" t="s">
        <v>94</v>
      </c>
      <c r="E43" s="33"/>
      <c r="F43" s="14" t="s">
        <v>32</v>
      </c>
      <c r="G43" s="173">
        <f>G44+G46</f>
        <v>1151.9000000000001</v>
      </c>
      <c r="H43" s="173">
        <f t="shared" ref="H43:L43" si="15">H44+H46</f>
        <v>1398.6842099999999</v>
      </c>
      <c r="I43" s="173">
        <f t="shared" si="15"/>
        <v>1604.53421</v>
      </c>
      <c r="J43" s="173">
        <f t="shared" si="15"/>
        <v>1471.9</v>
      </c>
      <c r="K43" s="173">
        <f t="shared" si="15"/>
        <v>1538.9</v>
      </c>
      <c r="L43" s="173">
        <f t="shared" si="15"/>
        <v>1599.8</v>
      </c>
    </row>
    <row r="44" spans="1:15" s="17" customFormat="1" ht="60" x14ac:dyDescent="0.25">
      <c r="A44" s="16"/>
      <c r="B44" s="15" t="s">
        <v>95</v>
      </c>
      <c r="C44" s="16" t="s">
        <v>102</v>
      </c>
      <c r="D44" s="15" t="s">
        <v>95</v>
      </c>
      <c r="E44" s="32"/>
      <c r="F44" s="14" t="s">
        <v>33</v>
      </c>
      <c r="G44" s="174">
        <f>G45</f>
        <v>1141.9000000000001</v>
      </c>
      <c r="H44" s="174">
        <f t="shared" ref="H44:L44" si="16">H45</f>
        <v>1393.6842099999999</v>
      </c>
      <c r="I44" s="174">
        <f t="shared" si="16"/>
        <v>1597.53421</v>
      </c>
      <c r="J44" s="174">
        <f t="shared" si="16"/>
        <v>1461.9</v>
      </c>
      <c r="K44" s="174">
        <f t="shared" si="16"/>
        <v>1528</v>
      </c>
      <c r="L44" s="174">
        <f t="shared" si="16"/>
        <v>1588</v>
      </c>
    </row>
    <row r="45" spans="1:15" ht="45" x14ac:dyDescent="0.25">
      <c r="A45" s="10"/>
      <c r="B45" s="11"/>
      <c r="C45" s="10" t="s">
        <v>96</v>
      </c>
      <c r="D45" s="11" t="s">
        <v>95</v>
      </c>
      <c r="E45" s="19" t="s">
        <v>71</v>
      </c>
      <c r="F45" s="14" t="s">
        <v>34</v>
      </c>
      <c r="G45" s="172">
        <v>1141.9000000000001</v>
      </c>
      <c r="H45" s="172">
        <v>1393.6842099999999</v>
      </c>
      <c r="I45" s="172">
        <v>1597.53421</v>
      </c>
      <c r="J45" s="172">
        <v>1461.9</v>
      </c>
      <c r="K45" s="172">
        <v>1528</v>
      </c>
      <c r="L45" s="172">
        <v>1588</v>
      </c>
      <c r="O45" s="64"/>
    </row>
    <row r="46" spans="1:15" s="17" customFormat="1" ht="90" x14ac:dyDescent="0.25">
      <c r="A46" s="16"/>
      <c r="B46" s="15" t="s">
        <v>103</v>
      </c>
      <c r="C46" s="16" t="s">
        <v>104</v>
      </c>
      <c r="D46" s="15" t="s">
        <v>103</v>
      </c>
      <c r="E46" s="21"/>
      <c r="F46" s="14" t="s">
        <v>36</v>
      </c>
      <c r="G46" s="174">
        <f>G47</f>
        <v>10</v>
      </c>
      <c r="H46" s="174">
        <f t="shared" ref="H46:L46" si="17">H47</f>
        <v>5</v>
      </c>
      <c r="I46" s="174">
        <f t="shared" si="17"/>
        <v>7</v>
      </c>
      <c r="J46" s="174">
        <f t="shared" si="17"/>
        <v>10</v>
      </c>
      <c r="K46" s="174">
        <f t="shared" si="17"/>
        <v>10.9</v>
      </c>
      <c r="L46" s="174">
        <f t="shared" si="17"/>
        <v>11.8</v>
      </c>
    </row>
    <row r="47" spans="1:15" ht="60" x14ac:dyDescent="0.25">
      <c r="A47" s="10"/>
      <c r="B47" s="11"/>
      <c r="C47" s="10" t="s">
        <v>311</v>
      </c>
      <c r="D47" s="11" t="s">
        <v>312</v>
      </c>
      <c r="E47" s="19" t="s">
        <v>313</v>
      </c>
      <c r="F47" s="14" t="s">
        <v>279</v>
      </c>
      <c r="G47" s="172">
        <v>10</v>
      </c>
      <c r="H47" s="172">
        <v>5</v>
      </c>
      <c r="I47" s="172">
        <v>7</v>
      </c>
      <c r="J47" s="172">
        <v>10</v>
      </c>
      <c r="K47" s="175">
        <v>10.9</v>
      </c>
      <c r="L47" s="175">
        <v>11.8</v>
      </c>
    </row>
    <row r="48" spans="1:15" s="8" customFormat="1" ht="29.25" x14ac:dyDescent="0.25">
      <c r="A48" s="119"/>
      <c r="B48" s="120" t="s">
        <v>112</v>
      </c>
      <c r="C48" s="119"/>
      <c r="D48" s="120"/>
      <c r="E48" s="121"/>
      <c r="F48" s="122" t="s">
        <v>40</v>
      </c>
      <c r="G48" s="176">
        <f t="shared" ref="G48:L48" si="18">G49+G65+G69+G89+G104+G141</f>
        <v>24784.914799999999</v>
      </c>
      <c r="H48" s="176">
        <f t="shared" si="18"/>
        <v>23108.674109999996</v>
      </c>
      <c r="I48" s="176">
        <f>I49+I65+I69+I89+I104+I141-0.1</f>
        <v>27420.274344000001</v>
      </c>
      <c r="J48" s="176">
        <f t="shared" si="18"/>
        <v>29511.699999999997</v>
      </c>
      <c r="K48" s="176">
        <f t="shared" si="18"/>
        <v>30656.5</v>
      </c>
      <c r="L48" s="176">
        <f t="shared" si="18"/>
        <v>31699.199999999997</v>
      </c>
    </row>
    <row r="49" spans="1:13" s="8" customFormat="1" ht="72" x14ac:dyDescent="0.25">
      <c r="A49" s="13"/>
      <c r="B49" s="12" t="s">
        <v>113</v>
      </c>
      <c r="C49" s="13" t="s">
        <v>114</v>
      </c>
      <c r="D49" s="12" t="s">
        <v>115</v>
      </c>
      <c r="E49" s="20"/>
      <c r="F49" s="14" t="s">
        <v>244</v>
      </c>
      <c r="G49" s="173">
        <f t="shared" ref="G49:L49" si="19">G50+G59+G62</f>
        <v>9852.4328000000005</v>
      </c>
      <c r="H49" s="173">
        <f t="shared" si="19"/>
        <v>8016.4168</v>
      </c>
      <c r="I49" s="173">
        <f t="shared" si="19"/>
        <v>10376.651710000002</v>
      </c>
      <c r="J49" s="173">
        <f t="shared" si="19"/>
        <v>11800.8</v>
      </c>
      <c r="K49" s="173">
        <f t="shared" si="19"/>
        <v>12343.7</v>
      </c>
      <c r="L49" s="173">
        <f t="shared" si="19"/>
        <v>12837.5</v>
      </c>
    </row>
    <row r="50" spans="1:13" s="17" customFormat="1" ht="90" x14ac:dyDescent="0.25">
      <c r="A50" s="16"/>
      <c r="B50" s="15" t="s">
        <v>130</v>
      </c>
      <c r="C50" s="16" t="s">
        <v>131</v>
      </c>
      <c r="D50" s="15" t="s">
        <v>130</v>
      </c>
      <c r="E50" s="21"/>
      <c r="F50" s="14" t="s">
        <v>245</v>
      </c>
      <c r="G50" s="174">
        <f>G51+G55+G52+G57+G53+G54+G56+G58</f>
        <v>9851.4328000000005</v>
      </c>
      <c r="H50" s="174">
        <f t="shared" ref="H50:L50" si="20">H51+H55+H52+H57+H53+H54+H56+H58</f>
        <v>7665.3112799999999</v>
      </c>
      <c r="I50" s="174">
        <f>I51+I55+I52+I57+I53+I54+I56+I58</f>
        <v>10025.546190000001</v>
      </c>
      <c r="J50" s="174">
        <f>J51+J55+J52+J57+J53+J54+J56+J58</f>
        <v>11699.5</v>
      </c>
      <c r="K50" s="174">
        <f t="shared" si="20"/>
        <v>12237.7</v>
      </c>
      <c r="L50" s="174">
        <f t="shared" si="20"/>
        <v>12727.2</v>
      </c>
    </row>
    <row r="51" spans="1:13" ht="90" x14ac:dyDescent="0.25">
      <c r="A51" s="10"/>
      <c r="B51" s="11"/>
      <c r="C51" s="10" t="s">
        <v>512</v>
      </c>
      <c r="D51" s="11" t="s">
        <v>116</v>
      </c>
      <c r="E51" s="19" t="s">
        <v>314</v>
      </c>
      <c r="F51" s="14" t="s">
        <v>41</v>
      </c>
      <c r="G51" s="172">
        <v>3632.3</v>
      </c>
      <c r="H51" s="172">
        <v>2765.38834</v>
      </c>
      <c r="I51" s="172">
        <v>3629.9883399999999</v>
      </c>
      <c r="J51" s="172">
        <v>0</v>
      </c>
      <c r="K51" s="172">
        <v>0</v>
      </c>
      <c r="L51" s="172">
        <v>0</v>
      </c>
      <c r="M51" s="64">
        <f>SUM(I51:I52)</f>
        <v>4090.6843199999998</v>
      </c>
    </row>
    <row r="52" spans="1:13" ht="90" x14ac:dyDescent="0.25">
      <c r="A52" s="10"/>
      <c r="B52" s="11"/>
      <c r="C52" s="10" t="s">
        <v>513</v>
      </c>
      <c r="D52" s="11" t="s">
        <v>126</v>
      </c>
      <c r="E52" s="19" t="s">
        <v>117</v>
      </c>
      <c r="F52" s="14" t="s">
        <v>42</v>
      </c>
      <c r="G52" s="172">
        <v>387.63279999999997</v>
      </c>
      <c r="H52" s="172">
        <v>390.49597999999997</v>
      </c>
      <c r="I52" s="172">
        <v>460.69598000000002</v>
      </c>
      <c r="J52" s="172">
        <v>0</v>
      </c>
      <c r="K52" s="172">
        <v>0</v>
      </c>
      <c r="L52" s="172">
        <v>0</v>
      </c>
    </row>
    <row r="53" spans="1:13" ht="90" x14ac:dyDescent="0.25">
      <c r="A53" s="10"/>
      <c r="B53" s="11"/>
      <c r="C53" s="10" t="s">
        <v>687</v>
      </c>
      <c r="D53" s="11" t="s">
        <v>689</v>
      </c>
      <c r="E53" s="19" t="s">
        <v>710</v>
      </c>
      <c r="F53" s="14"/>
      <c r="G53" s="172">
        <v>0</v>
      </c>
      <c r="H53" s="172">
        <v>0</v>
      </c>
      <c r="I53" s="172">
        <v>0</v>
      </c>
      <c r="J53" s="172">
        <v>4959</v>
      </c>
      <c r="K53" s="172">
        <v>5187.1000000000004</v>
      </c>
      <c r="L53" s="172">
        <v>5390.2</v>
      </c>
    </row>
    <row r="54" spans="1:13" ht="90" x14ac:dyDescent="0.25">
      <c r="A54" s="10"/>
      <c r="B54" s="11"/>
      <c r="C54" s="10" t="s">
        <v>688</v>
      </c>
      <c r="D54" s="11" t="s">
        <v>689</v>
      </c>
      <c r="E54" s="19" t="s">
        <v>117</v>
      </c>
      <c r="F54" s="14"/>
      <c r="G54" s="172">
        <v>0</v>
      </c>
      <c r="H54" s="172">
        <v>0</v>
      </c>
      <c r="I54" s="172">
        <v>0</v>
      </c>
      <c r="J54" s="172">
        <v>357.2</v>
      </c>
      <c r="K54" s="172">
        <v>373.6</v>
      </c>
      <c r="L54" s="172">
        <v>390.8</v>
      </c>
    </row>
    <row r="55" spans="1:13" ht="75" x14ac:dyDescent="0.25">
      <c r="A55" s="10"/>
      <c r="B55" s="11"/>
      <c r="C55" s="10" t="s">
        <v>121</v>
      </c>
      <c r="D55" s="11" t="s">
        <v>120</v>
      </c>
      <c r="E55" s="19" t="s">
        <v>314</v>
      </c>
      <c r="F55" s="14" t="s">
        <v>43</v>
      </c>
      <c r="G55" s="172">
        <v>278</v>
      </c>
      <c r="H55" s="172">
        <v>309.66187000000002</v>
      </c>
      <c r="I55" s="172">
        <v>375.06187</v>
      </c>
      <c r="J55" s="172">
        <v>0</v>
      </c>
      <c r="K55" s="172">
        <v>0</v>
      </c>
      <c r="L55" s="172">
        <v>0</v>
      </c>
    </row>
    <row r="56" spans="1:13" ht="90" x14ac:dyDescent="0.25">
      <c r="A56" s="10"/>
      <c r="B56" s="11"/>
      <c r="C56" s="10" t="s">
        <v>690</v>
      </c>
      <c r="D56" s="11" t="s">
        <v>692</v>
      </c>
      <c r="E56" s="19" t="s">
        <v>710</v>
      </c>
      <c r="F56" s="14"/>
      <c r="G56" s="172">
        <v>0</v>
      </c>
      <c r="H56" s="172">
        <v>0</v>
      </c>
      <c r="I56" s="172">
        <v>0</v>
      </c>
      <c r="J56" s="172">
        <v>330</v>
      </c>
      <c r="K56" s="172">
        <v>345.2</v>
      </c>
      <c r="L56" s="172">
        <v>361.1</v>
      </c>
    </row>
    <row r="57" spans="1:13" ht="75" x14ac:dyDescent="0.25">
      <c r="A57" s="10"/>
      <c r="B57" s="11"/>
      <c r="C57" s="10" t="s">
        <v>315</v>
      </c>
      <c r="D57" s="11" t="s">
        <v>243</v>
      </c>
      <c r="E57" s="19" t="s">
        <v>314</v>
      </c>
      <c r="F57" s="14" t="s">
        <v>44</v>
      </c>
      <c r="G57" s="172">
        <v>5553.5</v>
      </c>
      <c r="H57" s="172">
        <v>4199.7650899999999</v>
      </c>
      <c r="I57" s="172">
        <v>5559.8</v>
      </c>
      <c r="J57" s="172">
        <v>0</v>
      </c>
      <c r="K57" s="172">
        <v>0</v>
      </c>
      <c r="L57" s="172">
        <v>0</v>
      </c>
    </row>
    <row r="58" spans="1:13" ht="75" x14ac:dyDescent="0.25">
      <c r="A58" s="10"/>
      <c r="B58" s="11"/>
      <c r="C58" s="10" t="s">
        <v>691</v>
      </c>
      <c r="D58" s="11" t="s">
        <v>693</v>
      </c>
      <c r="E58" s="19" t="s">
        <v>314</v>
      </c>
      <c r="F58" s="14"/>
      <c r="G58" s="172">
        <v>0</v>
      </c>
      <c r="H58" s="172">
        <v>0</v>
      </c>
      <c r="I58" s="172">
        <v>0</v>
      </c>
      <c r="J58" s="172">
        <v>6053.3</v>
      </c>
      <c r="K58" s="172">
        <v>6331.8</v>
      </c>
      <c r="L58" s="172">
        <v>6585.1</v>
      </c>
    </row>
    <row r="59" spans="1:13" s="17" customFormat="1" ht="60" x14ac:dyDescent="0.25">
      <c r="A59" s="16"/>
      <c r="B59" s="15" t="s">
        <v>132</v>
      </c>
      <c r="C59" s="16" t="s">
        <v>133</v>
      </c>
      <c r="D59" s="15" t="s">
        <v>132</v>
      </c>
      <c r="E59" s="21"/>
      <c r="F59" s="14" t="s">
        <v>45</v>
      </c>
      <c r="G59" s="171">
        <f t="shared" ref="G59:I59" si="21">G60+G61</f>
        <v>0.4</v>
      </c>
      <c r="H59" s="171">
        <f t="shared" si="21"/>
        <v>348.00551999999999</v>
      </c>
      <c r="I59" s="171">
        <f t="shared" si="21"/>
        <v>348.00551999999999</v>
      </c>
      <c r="J59" s="171">
        <f>J60+J61</f>
        <v>100</v>
      </c>
      <c r="K59" s="171">
        <f t="shared" ref="K59:L59" si="22">K60+K61</f>
        <v>104.6</v>
      </c>
      <c r="L59" s="171">
        <f t="shared" si="22"/>
        <v>108.8</v>
      </c>
    </row>
    <row r="60" spans="1:13" ht="75" x14ac:dyDescent="0.25">
      <c r="A60" s="10"/>
      <c r="B60" s="11"/>
      <c r="C60" s="10" t="s">
        <v>123</v>
      </c>
      <c r="D60" s="11" t="s">
        <v>122</v>
      </c>
      <c r="E60" s="19" t="s">
        <v>314</v>
      </c>
      <c r="F60" s="14" t="s">
        <v>605</v>
      </c>
      <c r="G60" s="172">
        <v>0.4</v>
      </c>
      <c r="H60" s="172">
        <v>348.00551999999999</v>
      </c>
      <c r="I60" s="172">
        <f>H60</f>
        <v>348.00551999999999</v>
      </c>
      <c r="J60" s="172">
        <v>0</v>
      </c>
      <c r="K60" s="172">
        <v>0</v>
      </c>
      <c r="L60" s="172">
        <v>0</v>
      </c>
    </row>
    <row r="61" spans="1:13" ht="75" x14ac:dyDescent="0.25">
      <c r="A61" s="10"/>
      <c r="B61" s="11"/>
      <c r="C61" s="10" t="s">
        <v>694</v>
      </c>
      <c r="D61" s="11" t="s">
        <v>695</v>
      </c>
      <c r="E61" s="19" t="s">
        <v>314</v>
      </c>
      <c r="F61" s="14"/>
      <c r="G61" s="172">
        <v>0</v>
      </c>
      <c r="H61" s="172">
        <v>0</v>
      </c>
      <c r="I61" s="172">
        <v>0</v>
      </c>
      <c r="J61" s="172">
        <v>100</v>
      </c>
      <c r="K61" s="172">
        <v>104.6</v>
      </c>
      <c r="L61" s="172">
        <v>108.8</v>
      </c>
    </row>
    <row r="62" spans="1:13" s="17" customFormat="1" ht="90" x14ac:dyDescent="0.25">
      <c r="A62" s="16"/>
      <c r="B62" s="15" t="s">
        <v>134</v>
      </c>
      <c r="C62" s="16" t="s">
        <v>135</v>
      </c>
      <c r="D62" s="15" t="s">
        <v>134</v>
      </c>
      <c r="E62" s="21"/>
      <c r="F62" s="14" t="s">
        <v>606</v>
      </c>
      <c r="G62" s="171">
        <f>G63+G64</f>
        <v>0.6</v>
      </c>
      <c r="H62" s="171">
        <f t="shared" ref="H62:L62" si="23">H63+H64</f>
        <v>3.1</v>
      </c>
      <c r="I62" s="171">
        <f t="shared" si="23"/>
        <v>3.1</v>
      </c>
      <c r="J62" s="171">
        <f t="shared" si="23"/>
        <v>1.3</v>
      </c>
      <c r="K62" s="171">
        <f t="shared" si="23"/>
        <v>1.4</v>
      </c>
      <c r="L62" s="171">
        <f t="shared" si="23"/>
        <v>1.5</v>
      </c>
    </row>
    <row r="63" spans="1:13" ht="90" x14ac:dyDescent="0.25">
      <c r="A63" s="10"/>
      <c r="B63" s="11"/>
      <c r="C63" s="10" t="s">
        <v>125</v>
      </c>
      <c r="D63" s="11" t="s">
        <v>124</v>
      </c>
      <c r="E63" s="19" t="s">
        <v>314</v>
      </c>
      <c r="F63" s="14" t="s">
        <v>46</v>
      </c>
      <c r="G63" s="175">
        <v>0.6</v>
      </c>
      <c r="H63" s="175">
        <v>3.1</v>
      </c>
      <c r="I63" s="175">
        <v>3.1</v>
      </c>
      <c r="J63" s="175">
        <v>0</v>
      </c>
      <c r="K63" s="175">
        <v>0</v>
      </c>
      <c r="L63" s="175">
        <v>0</v>
      </c>
    </row>
    <row r="64" spans="1:13" ht="90" x14ac:dyDescent="0.25">
      <c r="A64" s="10"/>
      <c r="B64" s="11"/>
      <c r="C64" s="10" t="s">
        <v>697</v>
      </c>
      <c r="D64" s="11" t="s">
        <v>696</v>
      </c>
      <c r="E64" s="19" t="s">
        <v>314</v>
      </c>
      <c r="F64" s="14"/>
      <c r="G64" s="175">
        <v>0</v>
      </c>
      <c r="H64" s="175">
        <v>0</v>
      </c>
      <c r="I64" s="175">
        <v>0</v>
      </c>
      <c r="J64" s="175">
        <v>1.3</v>
      </c>
      <c r="K64" s="175">
        <v>1.4</v>
      </c>
      <c r="L64" s="175">
        <v>1.5</v>
      </c>
    </row>
    <row r="65" spans="1:13" s="8" customFormat="1" ht="29.25" x14ac:dyDescent="0.25">
      <c r="A65" s="13"/>
      <c r="B65" s="12" t="s">
        <v>127</v>
      </c>
      <c r="C65" s="13" t="s">
        <v>128</v>
      </c>
      <c r="D65" s="12" t="s">
        <v>129</v>
      </c>
      <c r="E65" s="20"/>
      <c r="F65" s="14" t="s">
        <v>47</v>
      </c>
      <c r="G65" s="173">
        <f>G66</f>
        <v>66.099999999999994</v>
      </c>
      <c r="H65" s="173">
        <f t="shared" ref="H65:L65" si="24">H66</f>
        <v>38.922560000000004</v>
      </c>
      <c r="I65" s="173">
        <f t="shared" si="24"/>
        <v>40.12256</v>
      </c>
      <c r="J65" s="173">
        <f t="shared" si="24"/>
        <v>57.699999999999996</v>
      </c>
      <c r="K65" s="173">
        <f t="shared" si="24"/>
        <v>60.4</v>
      </c>
      <c r="L65" s="173">
        <f t="shared" si="24"/>
        <v>62.800000000000004</v>
      </c>
    </row>
    <row r="66" spans="1:13" s="17" customFormat="1" ht="45" x14ac:dyDescent="0.25">
      <c r="A66" s="16"/>
      <c r="B66" s="15" t="s">
        <v>139</v>
      </c>
      <c r="C66" s="16" t="s">
        <v>140</v>
      </c>
      <c r="D66" s="15" t="s">
        <v>139</v>
      </c>
      <c r="E66" s="21"/>
      <c r="F66" s="14" t="s">
        <v>48</v>
      </c>
      <c r="G66" s="174">
        <f t="shared" ref="G66:L66" si="25">G67+G68</f>
        <v>66.099999999999994</v>
      </c>
      <c r="H66" s="174">
        <f t="shared" si="25"/>
        <v>38.922560000000004</v>
      </c>
      <c r="I66" s="174">
        <f t="shared" si="25"/>
        <v>40.12256</v>
      </c>
      <c r="J66" s="174">
        <f t="shared" si="25"/>
        <v>57.699999999999996</v>
      </c>
      <c r="K66" s="174">
        <f t="shared" si="25"/>
        <v>60.4</v>
      </c>
      <c r="L66" s="174">
        <f t="shared" si="25"/>
        <v>62.800000000000004</v>
      </c>
    </row>
    <row r="67" spans="1:13" ht="45" x14ac:dyDescent="0.25">
      <c r="A67" s="10"/>
      <c r="B67" s="11"/>
      <c r="C67" s="10" t="s">
        <v>143</v>
      </c>
      <c r="D67" s="11" t="s">
        <v>141</v>
      </c>
      <c r="E67" s="19" t="s">
        <v>142</v>
      </c>
      <c r="F67" s="14" t="s">
        <v>280</v>
      </c>
      <c r="G67" s="172">
        <v>57.4</v>
      </c>
      <c r="H67" s="172">
        <v>34.685090000000002</v>
      </c>
      <c r="I67" s="172">
        <v>35.585090000000001</v>
      </c>
      <c r="J67" s="172">
        <v>52.9</v>
      </c>
      <c r="K67" s="175">
        <v>55.4</v>
      </c>
      <c r="L67" s="175">
        <v>57.6</v>
      </c>
    </row>
    <row r="68" spans="1:13" ht="45" x14ac:dyDescent="0.25">
      <c r="A68" s="10"/>
      <c r="B68" s="11"/>
      <c r="C68" s="10" t="s">
        <v>236</v>
      </c>
      <c r="D68" s="11" t="s">
        <v>145</v>
      </c>
      <c r="E68" s="19" t="s">
        <v>142</v>
      </c>
      <c r="F68" s="14" t="s">
        <v>607</v>
      </c>
      <c r="G68" s="172">
        <v>8.6999999999999993</v>
      </c>
      <c r="H68" s="172">
        <v>4.2374700000000001</v>
      </c>
      <c r="I68" s="172">
        <v>4.5374699999999999</v>
      </c>
      <c r="J68" s="172">
        <v>4.8</v>
      </c>
      <c r="K68" s="172">
        <v>5</v>
      </c>
      <c r="L68" s="172">
        <v>5.2</v>
      </c>
    </row>
    <row r="69" spans="1:13" s="8" customFormat="1" ht="57.75" x14ac:dyDescent="0.25">
      <c r="A69" s="13"/>
      <c r="B69" s="12" t="s">
        <v>147</v>
      </c>
      <c r="C69" s="13" t="s">
        <v>149</v>
      </c>
      <c r="D69" s="12" t="s">
        <v>148</v>
      </c>
      <c r="E69" s="20"/>
      <c r="F69" s="14" t="s">
        <v>50</v>
      </c>
      <c r="G69" s="173">
        <f>G70+G77</f>
        <v>13592.99005</v>
      </c>
      <c r="H69" s="173">
        <f t="shared" ref="H69:L69" si="26">H70+H77</f>
        <v>13441.58094</v>
      </c>
      <c r="I69" s="173">
        <f t="shared" si="26"/>
        <v>15310.880939999999</v>
      </c>
      <c r="J69" s="173">
        <f t="shared" si="26"/>
        <v>15644.3</v>
      </c>
      <c r="K69" s="173">
        <f t="shared" si="26"/>
        <v>16363.9</v>
      </c>
      <c r="L69" s="173">
        <f t="shared" si="26"/>
        <v>17018.5</v>
      </c>
    </row>
    <row r="70" spans="1:13" s="17" customFormat="1" ht="30" x14ac:dyDescent="0.25">
      <c r="A70" s="16"/>
      <c r="B70" s="15" t="s">
        <v>150</v>
      </c>
      <c r="C70" s="16" t="s">
        <v>151</v>
      </c>
      <c r="D70" s="15" t="s">
        <v>150</v>
      </c>
      <c r="E70" s="21"/>
      <c r="F70" s="14" t="s">
        <v>51</v>
      </c>
      <c r="G70" s="174">
        <f>G71+G73+G75+G72+G74+G76</f>
        <v>12011.32</v>
      </c>
      <c r="H70" s="174">
        <f t="shared" ref="H70:L70" si="27">H71+H73+H75+H72+H74+H76</f>
        <v>11264.1276</v>
      </c>
      <c r="I70" s="174">
        <f t="shared" si="27"/>
        <v>13096.427599999999</v>
      </c>
      <c r="J70" s="174">
        <f t="shared" si="27"/>
        <v>14667.4</v>
      </c>
      <c r="K70" s="174">
        <f t="shared" si="27"/>
        <v>15342.1</v>
      </c>
      <c r="L70" s="174">
        <f t="shared" si="27"/>
        <v>15955.8</v>
      </c>
    </row>
    <row r="71" spans="1:13" ht="75" x14ac:dyDescent="0.25">
      <c r="A71" s="10"/>
      <c r="B71" s="11"/>
      <c r="C71" s="10" t="s">
        <v>153</v>
      </c>
      <c r="D71" s="11" t="s">
        <v>152</v>
      </c>
      <c r="E71" s="19" t="s">
        <v>318</v>
      </c>
      <c r="F71" s="14" t="s">
        <v>52</v>
      </c>
      <c r="G71" s="172">
        <v>10184.32</v>
      </c>
      <c r="H71" s="172">
        <v>8206.8775999999998</v>
      </c>
      <c r="I71" s="172">
        <v>9735.6275999999998</v>
      </c>
      <c r="J71" s="172">
        <v>0</v>
      </c>
      <c r="K71" s="175">
        <v>0</v>
      </c>
      <c r="L71" s="175">
        <v>0</v>
      </c>
      <c r="M71" t="s">
        <v>809</v>
      </c>
    </row>
    <row r="72" spans="1:13" ht="75" x14ac:dyDescent="0.25">
      <c r="A72" s="10"/>
      <c r="B72" s="11"/>
      <c r="C72" s="10" t="s">
        <v>698</v>
      </c>
      <c r="D72" s="11" t="s">
        <v>701</v>
      </c>
      <c r="E72" s="19" t="s">
        <v>318</v>
      </c>
      <c r="F72" s="14"/>
      <c r="G72" s="172">
        <v>0</v>
      </c>
      <c r="H72" s="172">
        <v>0</v>
      </c>
      <c r="I72" s="172">
        <v>0</v>
      </c>
      <c r="J72" s="172">
        <v>10790</v>
      </c>
      <c r="K72" s="175">
        <v>11286.3</v>
      </c>
      <c r="L72" s="175">
        <v>11737.8</v>
      </c>
    </row>
    <row r="73" spans="1:13" ht="90" x14ac:dyDescent="0.25">
      <c r="A73" s="10"/>
      <c r="B73" s="11"/>
      <c r="C73" s="10" t="s">
        <v>316</v>
      </c>
      <c r="D73" s="11" t="s">
        <v>152</v>
      </c>
      <c r="E73" s="19" t="s">
        <v>317</v>
      </c>
      <c r="F73" s="14" t="s">
        <v>53</v>
      </c>
      <c r="G73" s="172">
        <v>1777</v>
      </c>
      <c r="H73" s="172">
        <v>2954.7</v>
      </c>
      <c r="I73" s="172">
        <v>3253.25</v>
      </c>
      <c r="J73" s="172">
        <v>0</v>
      </c>
      <c r="K73" s="175">
        <v>0</v>
      </c>
      <c r="L73" s="175">
        <v>0</v>
      </c>
      <c r="M73" s="204" t="s">
        <v>808</v>
      </c>
    </row>
    <row r="74" spans="1:13" ht="90" x14ac:dyDescent="0.25">
      <c r="A74" s="10"/>
      <c r="B74" s="11"/>
      <c r="C74" s="10" t="s">
        <v>699</v>
      </c>
      <c r="D74" s="11" t="s">
        <v>701</v>
      </c>
      <c r="E74" s="19" t="s">
        <v>317</v>
      </c>
      <c r="F74" s="14"/>
      <c r="G74" s="172">
        <v>0</v>
      </c>
      <c r="H74" s="172">
        <v>0</v>
      </c>
      <c r="I74" s="172">
        <v>0</v>
      </c>
      <c r="J74" s="172">
        <v>3795.4</v>
      </c>
      <c r="K74" s="175">
        <v>3970.1</v>
      </c>
      <c r="L74" s="175">
        <v>4128.8999999999996</v>
      </c>
    </row>
    <row r="75" spans="1:13" ht="60" x14ac:dyDescent="0.25">
      <c r="A75" s="10"/>
      <c r="B75" s="11"/>
      <c r="C75" s="10" t="s">
        <v>319</v>
      </c>
      <c r="D75" s="11" t="s">
        <v>152</v>
      </c>
      <c r="E75" s="19" t="s">
        <v>313</v>
      </c>
      <c r="F75" s="14" t="s">
        <v>281</v>
      </c>
      <c r="G75" s="172">
        <v>50</v>
      </c>
      <c r="H75" s="172">
        <v>102.55</v>
      </c>
      <c r="I75" s="172">
        <f>H75+5</f>
        <v>107.55</v>
      </c>
      <c r="J75" s="172">
        <v>0</v>
      </c>
      <c r="K75" s="175">
        <v>0</v>
      </c>
      <c r="L75" s="175">
        <v>0</v>
      </c>
      <c r="M75" t="s">
        <v>808</v>
      </c>
    </row>
    <row r="76" spans="1:13" ht="60" x14ac:dyDescent="0.25">
      <c r="A76" s="10"/>
      <c r="B76" s="11"/>
      <c r="C76" s="10" t="s">
        <v>700</v>
      </c>
      <c r="D76" s="11" t="s">
        <v>701</v>
      </c>
      <c r="E76" s="19" t="s">
        <v>313</v>
      </c>
      <c r="F76" s="14"/>
      <c r="G76" s="172">
        <v>0</v>
      </c>
      <c r="H76" s="172">
        <v>0</v>
      </c>
      <c r="I76" s="172">
        <v>0</v>
      </c>
      <c r="J76" s="172">
        <v>82</v>
      </c>
      <c r="K76" s="175">
        <v>85.7</v>
      </c>
      <c r="L76" s="175">
        <v>89.1</v>
      </c>
    </row>
    <row r="77" spans="1:13" s="17" customFormat="1" ht="30" x14ac:dyDescent="0.25">
      <c r="A77" s="16"/>
      <c r="B77" s="15" t="s">
        <v>155</v>
      </c>
      <c r="C77" s="16" t="s">
        <v>156</v>
      </c>
      <c r="D77" s="15" t="s">
        <v>155</v>
      </c>
      <c r="E77" s="21"/>
      <c r="F77" s="14" t="s">
        <v>54</v>
      </c>
      <c r="G77" s="174">
        <f>G78+G84</f>
        <v>1581.6700499999999</v>
      </c>
      <c r="H77" s="174">
        <f t="shared" ref="H77:L77" si="28">H78+H84</f>
        <v>2177.45334</v>
      </c>
      <c r="I77" s="174">
        <f>I78+I84</f>
        <v>2214.45334</v>
      </c>
      <c r="J77" s="174">
        <f t="shared" si="28"/>
        <v>976.9</v>
      </c>
      <c r="K77" s="174">
        <f t="shared" si="28"/>
        <v>1021.8000000000001</v>
      </c>
      <c r="L77" s="174">
        <f t="shared" si="28"/>
        <v>1062.7</v>
      </c>
    </row>
    <row r="78" spans="1:13" s="8" customFormat="1" ht="43.5" x14ac:dyDescent="0.25">
      <c r="A78" s="13"/>
      <c r="B78" s="12"/>
      <c r="C78" s="13" t="s">
        <v>714</v>
      </c>
      <c r="D78" s="12" t="s">
        <v>560</v>
      </c>
      <c r="E78" s="20"/>
      <c r="F78" s="14" t="s">
        <v>55</v>
      </c>
      <c r="G78" s="173">
        <f>G79+G83+G80+G81+G82</f>
        <v>239</v>
      </c>
      <c r="H78" s="173">
        <f t="shared" ref="H78:L78" si="29">H79+H83+H80+H81+H82</f>
        <v>126.05341999999999</v>
      </c>
      <c r="I78" s="173">
        <f t="shared" si="29"/>
        <v>163.05342000000002</v>
      </c>
      <c r="J78" s="173">
        <f t="shared" si="29"/>
        <v>892.9</v>
      </c>
      <c r="K78" s="173">
        <f t="shared" si="29"/>
        <v>933.90000000000009</v>
      </c>
      <c r="L78" s="173">
        <f t="shared" si="29"/>
        <v>970.8</v>
      </c>
    </row>
    <row r="79" spans="1:13" ht="90" x14ac:dyDescent="0.25">
      <c r="A79" s="10"/>
      <c r="B79" s="11"/>
      <c r="C79" s="10" t="s">
        <v>320</v>
      </c>
      <c r="D79" s="11" t="s">
        <v>321</v>
      </c>
      <c r="E79" s="151" t="s">
        <v>317</v>
      </c>
      <c r="F79" s="14" t="s">
        <v>56</v>
      </c>
      <c r="G79" s="175">
        <v>198</v>
      </c>
      <c r="H79" s="175">
        <v>92.650189999999995</v>
      </c>
      <c r="I79" s="175">
        <f>H79+37</f>
        <v>129.65019000000001</v>
      </c>
      <c r="J79" s="175">
        <v>0</v>
      </c>
      <c r="K79" s="175">
        <v>0</v>
      </c>
      <c r="L79" s="175">
        <v>0</v>
      </c>
      <c r="M79" t="s">
        <v>808</v>
      </c>
    </row>
    <row r="80" spans="1:13" ht="60" x14ac:dyDescent="0.25">
      <c r="A80" s="10"/>
      <c r="B80" s="11"/>
      <c r="C80" s="10" t="s">
        <v>322</v>
      </c>
      <c r="D80" s="11" t="s">
        <v>321</v>
      </c>
      <c r="E80" s="151" t="s">
        <v>313</v>
      </c>
      <c r="F80" s="14" t="s">
        <v>57</v>
      </c>
      <c r="G80" s="175">
        <v>41</v>
      </c>
      <c r="H80" s="175">
        <v>33.403230000000001</v>
      </c>
      <c r="I80" s="175">
        <v>33.403230000000001</v>
      </c>
      <c r="J80" s="175">
        <v>0</v>
      </c>
      <c r="K80" s="175">
        <v>0</v>
      </c>
      <c r="L80" s="175">
        <v>0</v>
      </c>
    </row>
    <row r="81" spans="1:13" ht="90" x14ac:dyDescent="0.25">
      <c r="A81" s="10"/>
      <c r="B81" s="11"/>
      <c r="C81" s="10" t="s">
        <v>716</v>
      </c>
      <c r="D81" s="11" t="s">
        <v>703</v>
      </c>
      <c r="E81" s="151" t="s">
        <v>317</v>
      </c>
      <c r="F81" s="14"/>
      <c r="G81" s="175">
        <v>0</v>
      </c>
      <c r="H81" s="175">
        <v>0</v>
      </c>
      <c r="I81" s="175">
        <v>0</v>
      </c>
      <c r="J81" s="175">
        <v>140.30000000000001</v>
      </c>
      <c r="K81" s="175">
        <v>146.6</v>
      </c>
      <c r="L81" s="175">
        <v>152.4</v>
      </c>
    </row>
    <row r="82" spans="1:13" ht="60" x14ac:dyDescent="0.25">
      <c r="A82" s="10"/>
      <c r="B82" s="11"/>
      <c r="C82" s="10" t="s">
        <v>717</v>
      </c>
      <c r="D82" s="11" t="s">
        <v>703</v>
      </c>
      <c r="E82" s="151" t="s">
        <v>313</v>
      </c>
      <c r="F82" s="14"/>
      <c r="G82" s="175">
        <v>0</v>
      </c>
      <c r="H82" s="175">
        <v>0</v>
      </c>
      <c r="I82" s="175">
        <v>0</v>
      </c>
      <c r="J82" s="175">
        <v>42.6</v>
      </c>
      <c r="K82" s="175">
        <v>44.6</v>
      </c>
      <c r="L82" s="175">
        <v>46.3</v>
      </c>
    </row>
    <row r="83" spans="1:13" ht="45" x14ac:dyDescent="0.25">
      <c r="A83" s="10"/>
      <c r="B83" s="11"/>
      <c r="C83" s="10" t="s">
        <v>718</v>
      </c>
      <c r="D83" s="11" t="s">
        <v>703</v>
      </c>
      <c r="E83" s="24"/>
      <c r="F83" s="14" t="s">
        <v>57</v>
      </c>
      <c r="G83" s="175">
        <v>0</v>
      </c>
      <c r="H83" s="175">
        <v>0</v>
      </c>
      <c r="I83" s="175">
        <v>0</v>
      </c>
      <c r="J83" s="175">
        <v>710</v>
      </c>
      <c r="K83" s="175">
        <v>742.7</v>
      </c>
      <c r="L83" s="175">
        <v>772.1</v>
      </c>
      <c r="M83" t="s">
        <v>552</v>
      </c>
    </row>
    <row r="84" spans="1:13" s="8" customFormat="1" ht="15.75" x14ac:dyDescent="0.25">
      <c r="A84" s="13"/>
      <c r="B84" s="12"/>
      <c r="C84" s="13" t="s">
        <v>713</v>
      </c>
      <c r="D84" s="12" t="s">
        <v>559</v>
      </c>
      <c r="E84" s="152"/>
      <c r="F84" s="14" t="s">
        <v>58</v>
      </c>
      <c r="G84" s="173">
        <f>G85+G86+G87+G88</f>
        <v>1342.6700499999999</v>
      </c>
      <c r="H84" s="173">
        <f t="shared" ref="H84:L84" si="30">H85+H86+H87+H88</f>
        <v>2051.3999199999998</v>
      </c>
      <c r="I84" s="173">
        <f t="shared" si="30"/>
        <v>2051.3999199999998</v>
      </c>
      <c r="J84" s="173">
        <f t="shared" si="30"/>
        <v>84</v>
      </c>
      <c r="K84" s="173">
        <f t="shared" si="30"/>
        <v>87.9</v>
      </c>
      <c r="L84" s="173">
        <f t="shared" si="30"/>
        <v>91.9</v>
      </c>
    </row>
    <row r="85" spans="1:13" ht="75" x14ac:dyDescent="0.25">
      <c r="A85" s="10"/>
      <c r="B85" s="11"/>
      <c r="C85" s="10" t="s">
        <v>818</v>
      </c>
      <c r="D85" s="11" t="s">
        <v>154</v>
      </c>
      <c r="E85" s="151" t="s">
        <v>314</v>
      </c>
      <c r="F85" s="14" t="s">
        <v>59</v>
      </c>
      <c r="G85" s="175">
        <v>40</v>
      </c>
      <c r="H85" s="175">
        <v>199.24736999999999</v>
      </c>
      <c r="I85" s="175">
        <f>H85</f>
        <v>199.24736999999999</v>
      </c>
      <c r="J85" s="175">
        <v>0</v>
      </c>
      <c r="K85" s="175">
        <v>0</v>
      </c>
      <c r="L85" s="175">
        <v>0</v>
      </c>
    </row>
    <row r="86" spans="1:13" ht="60" x14ac:dyDescent="0.25">
      <c r="A86" s="10"/>
      <c r="B86" s="11"/>
      <c r="C86" s="10" t="s">
        <v>323</v>
      </c>
      <c r="D86" s="11" t="s">
        <v>154</v>
      </c>
      <c r="E86" s="151" t="s">
        <v>313</v>
      </c>
      <c r="F86" s="14" t="s">
        <v>60</v>
      </c>
      <c r="G86" s="175">
        <v>0</v>
      </c>
      <c r="H86" s="175">
        <v>318.58028999999999</v>
      </c>
      <c r="I86" s="175">
        <f>H86</f>
        <v>318.58028999999999</v>
      </c>
      <c r="J86" s="175">
        <v>0</v>
      </c>
      <c r="K86" s="175">
        <v>0</v>
      </c>
      <c r="L86" s="175">
        <v>0</v>
      </c>
      <c r="M86" s="127"/>
    </row>
    <row r="87" spans="1:13" ht="90" x14ac:dyDescent="0.25">
      <c r="A87" s="10"/>
      <c r="B87" s="11"/>
      <c r="C87" s="10" t="s">
        <v>720</v>
      </c>
      <c r="D87" s="11" t="s">
        <v>154</v>
      </c>
      <c r="E87" s="151" t="s">
        <v>380</v>
      </c>
      <c r="F87" s="14"/>
      <c r="G87" s="175">
        <v>1302.6700499999999</v>
      </c>
      <c r="H87" s="175">
        <v>1533.5722599999999</v>
      </c>
      <c r="I87" s="175">
        <f>H87</f>
        <v>1533.5722599999999</v>
      </c>
      <c r="J87" s="175">
        <v>0</v>
      </c>
      <c r="K87" s="175">
        <v>0</v>
      </c>
      <c r="L87" s="175">
        <v>0</v>
      </c>
      <c r="M87" s="127"/>
    </row>
    <row r="88" spans="1:13" ht="75" x14ac:dyDescent="0.25">
      <c r="A88" s="10"/>
      <c r="B88" s="11"/>
      <c r="C88" s="10" t="s">
        <v>704</v>
      </c>
      <c r="D88" s="11" t="s">
        <v>705</v>
      </c>
      <c r="E88" s="151" t="s">
        <v>710</v>
      </c>
      <c r="F88" s="14"/>
      <c r="G88" s="175">
        <v>0</v>
      </c>
      <c r="H88" s="175">
        <v>0</v>
      </c>
      <c r="I88" s="175">
        <v>0</v>
      </c>
      <c r="J88" s="175">
        <v>84</v>
      </c>
      <c r="K88" s="175">
        <v>87.9</v>
      </c>
      <c r="L88" s="175">
        <v>91.9</v>
      </c>
      <c r="M88" s="127"/>
    </row>
    <row r="89" spans="1:13" s="8" customFormat="1" ht="43.5" x14ac:dyDescent="0.25">
      <c r="A89" s="13"/>
      <c r="B89" s="12" t="s">
        <v>157</v>
      </c>
      <c r="C89" s="13" t="s">
        <v>159</v>
      </c>
      <c r="D89" s="12" t="s">
        <v>158</v>
      </c>
      <c r="E89" s="152"/>
      <c r="F89" s="14" t="s">
        <v>61</v>
      </c>
      <c r="G89" s="173">
        <f>G90+G101</f>
        <v>867.6</v>
      </c>
      <c r="H89" s="173">
        <f t="shared" ref="H89:L89" si="31">H90+H101</f>
        <v>1252.5446899999999</v>
      </c>
      <c r="I89" s="173">
        <f>I90+I101</f>
        <v>1292.5446899999999</v>
      </c>
      <c r="J89" s="173">
        <f t="shared" si="31"/>
        <v>1457.6</v>
      </c>
      <c r="K89" s="173">
        <f t="shared" si="31"/>
        <v>1311.8</v>
      </c>
      <c r="L89" s="173">
        <f t="shared" si="31"/>
        <v>1180.5999999999999</v>
      </c>
    </row>
    <row r="90" spans="1:13" s="17" customFormat="1" ht="90" x14ac:dyDescent="0.25">
      <c r="A90" s="16"/>
      <c r="B90" s="15" t="s">
        <v>161</v>
      </c>
      <c r="C90" s="16" t="s">
        <v>160</v>
      </c>
      <c r="D90" s="15" t="s">
        <v>161</v>
      </c>
      <c r="E90" s="21"/>
      <c r="F90" s="14" t="s">
        <v>62</v>
      </c>
      <c r="G90" s="174">
        <f>G91+G97+G95</f>
        <v>717.6</v>
      </c>
      <c r="H90" s="174">
        <f t="shared" ref="H90:L90" si="32">H91+H97+H95</f>
        <v>1118.92209</v>
      </c>
      <c r="I90" s="174">
        <f t="shared" si="32"/>
        <v>1158.92209</v>
      </c>
      <c r="J90" s="174">
        <f t="shared" si="32"/>
        <v>1357.6</v>
      </c>
      <c r="K90" s="174">
        <f t="shared" si="32"/>
        <v>1221.8</v>
      </c>
      <c r="L90" s="174">
        <f t="shared" si="32"/>
        <v>1099.5999999999999</v>
      </c>
    </row>
    <row r="91" spans="1:13" s="8" customFormat="1" ht="43.5" x14ac:dyDescent="0.25">
      <c r="A91" s="13"/>
      <c r="B91" s="12"/>
      <c r="C91" s="13" t="s">
        <v>715</v>
      </c>
      <c r="D91" s="12" t="s">
        <v>562</v>
      </c>
      <c r="E91" s="20"/>
      <c r="F91" s="14" t="s">
        <v>246</v>
      </c>
      <c r="G91" s="173">
        <f>G92+G93+G94</f>
        <v>450</v>
      </c>
      <c r="H91" s="173">
        <f t="shared" ref="H91:I91" si="33">H92+H93+H94</f>
        <v>717.81434999999999</v>
      </c>
      <c r="I91" s="173">
        <f t="shared" si="33"/>
        <v>717.81434999999999</v>
      </c>
      <c r="J91" s="173">
        <f>J92+J93+J94</f>
        <v>1000</v>
      </c>
      <c r="K91" s="173">
        <f t="shared" ref="K91:L91" si="34">K92+K93+K94</f>
        <v>900</v>
      </c>
      <c r="L91" s="173">
        <f t="shared" si="34"/>
        <v>810</v>
      </c>
    </row>
    <row r="92" spans="1:13" ht="75" x14ac:dyDescent="0.25">
      <c r="A92" s="10"/>
      <c r="B92" s="11"/>
      <c r="C92" s="10" t="s">
        <v>163</v>
      </c>
      <c r="D92" s="11" t="s">
        <v>162</v>
      </c>
      <c r="E92" s="19" t="s">
        <v>314</v>
      </c>
      <c r="F92" s="14" t="s">
        <v>63</v>
      </c>
      <c r="G92" s="172">
        <v>400</v>
      </c>
      <c r="H92" s="172">
        <v>716.69696999999996</v>
      </c>
      <c r="I92" s="172">
        <v>716.69696999999996</v>
      </c>
      <c r="J92" s="172">
        <v>0</v>
      </c>
      <c r="K92" s="172">
        <v>0</v>
      </c>
      <c r="L92" s="172">
        <v>0</v>
      </c>
      <c r="M92" t="s">
        <v>505</v>
      </c>
    </row>
    <row r="93" spans="1:13" ht="75" x14ac:dyDescent="0.25">
      <c r="A93" s="10"/>
      <c r="B93" s="11"/>
      <c r="C93" s="10" t="s">
        <v>324</v>
      </c>
      <c r="D93" s="11" t="s">
        <v>164</v>
      </c>
      <c r="E93" s="19" t="s">
        <v>314</v>
      </c>
      <c r="F93" s="14" t="s">
        <v>64</v>
      </c>
      <c r="G93" s="172">
        <v>50</v>
      </c>
      <c r="H93" s="172">
        <v>1.11738</v>
      </c>
      <c r="I93" s="172">
        <v>1.11738</v>
      </c>
      <c r="J93" s="172">
        <v>0</v>
      </c>
      <c r="K93" s="172">
        <v>0</v>
      </c>
      <c r="L93" s="172">
        <v>0</v>
      </c>
    </row>
    <row r="94" spans="1:13" ht="75" x14ac:dyDescent="0.25">
      <c r="A94" s="10"/>
      <c r="B94" s="11"/>
      <c r="C94" s="10" t="s">
        <v>707</v>
      </c>
      <c r="D94" s="11" t="s">
        <v>706</v>
      </c>
      <c r="E94" s="19" t="s">
        <v>314</v>
      </c>
      <c r="F94" s="14"/>
      <c r="G94" s="172">
        <v>0</v>
      </c>
      <c r="H94" s="172">
        <v>0</v>
      </c>
      <c r="I94" s="172">
        <v>0</v>
      </c>
      <c r="J94" s="172">
        <v>1000</v>
      </c>
      <c r="K94" s="172">
        <v>900</v>
      </c>
      <c r="L94" s="172">
        <v>810</v>
      </c>
    </row>
    <row r="95" spans="1:13" s="8" customFormat="1" ht="72" x14ac:dyDescent="0.25">
      <c r="A95" s="13"/>
      <c r="B95" s="12"/>
      <c r="C95" s="13" t="s">
        <v>819</v>
      </c>
      <c r="D95" s="12" t="s">
        <v>326</v>
      </c>
      <c r="E95" s="20"/>
      <c r="F95" s="14"/>
      <c r="G95" s="170">
        <f>G96</f>
        <v>0</v>
      </c>
      <c r="H95" s="170">
        <f t="shared" ref="H95:L95" si="35">H96</f>
        <v>163.05915999999999</v>
      </c>
      <c r="I95" s="170">
        <f t="shared" si="35"/>
        <v>163.05915999999999</v>
      </c>
      <c r="J95" s="170">
        <f t="shared" si="35"/>
        <v>0</v>
      </c>
      <c r="K95" s="170">
        <f t="shared" si="35"/>
        <v>0</v>
      </c>
      <c r="L95" s="170">
        <f t="shared" si="35"/>
        <v>0</v>
      </c>
    </row>
    <row r="96" spans="1:13" ht="75" x14ac:dyDescent="0.25">
      <c r="A96" s="10"/>
      <c r="B96" s="11"/>
      <c r="C96" s="10" t="s">
        <v>820</v>
      </c>
      <c r="D96" s="11" t="s">
        <v>326</v>
      </c>
      <c r="E96" s="19" t="s">
        <v>314</v>
      </c>
      <c r="F96" s="14"/>
      <c r="G96" s="172">
        <v>0</v>
      </c>
      <c r="H96" s="172">
        <v>163.05915999999999</v>
      </c>
      <c r="I96" s="172">
        <f>H96</f>
        <v>163.05915999999999</v>
      </c>
      <c r="J96" s="172">
        <v>0</v>
      </c>
      <c r="K96" s="172">
        <v>0</v>
      </c>
      <c r="L96" s="172">
        <v>0</v>
      </c>
    </row>
    <row r="97" spans="1:16" s="8" customFormat="1" ht="72" x14ac:dyDescent="0.25">
      <c r="A97" s="13"/>
      <c r="B97" s="12"/>
      <c r="C97" s="13" t="s">
        <v>563</v>
      </c>
      <c r="D97" s="12" t="s">
        <v>564</v>
      </c>
      <c r="E97" s="20"/>
      <c r="F97" s="14" t="s">
        <v>247</v>
      </c>
      <c r="G97" s="170">
        <f>G98+G99+G100</f>
        <v>267.60000000000002</v>
      </c>
      <c r="H97" s="170">
        <f t="shared" ref="H97:L97" si="36">H98+H99+H100</f>
        <v>238.04857999999999</v>
      </c>
      <c r="I97" s="170">
        <f t="shared" si="36"/>
        <v>278.04858000000002</v>
      </c>
      <c r="J97" s="170">
        <f t="shared" si="36"/>
        <v>357.6</v>
      </c>
      <c r="K97" s="170">
        <f t="shared" si="36"/>
        <v>321.8</v>
      </c>
      <c r="L97" s="170">
        <f t="shared" si="36"/>
        <v>289.60000000000002</v>
      </c>
    </row>
    <row r="98" spans="1:16" ht="105" x14ac:dyDescent="0.25">
      <c r="A98" s="10"/>
      <c r="B98" s="11"/>
      <c r="C98" s="10" t="s">
        <v>258</v>
      </c>
      <c r="D98" s="11" t="s">
        <v>259</v>
      </c>
      <c r="E98" s="19" t="s">
        <v>314</v>
      </c>
      <c r="F98" s="14" t="s">
        <v>282</v>
      </c>
      <c r="G98" s="172">
        <v>194.6</v>
      </c>
      <c r="H98" s="172">
        <v>165.49710999999999</v>
      </c>
      <c r="I98" s="177">
        <v>190.49710999999999</v>
      </c>
      <c r="J98" s="172">
        <v>0</v>
      </c>
      <c r="K98" s="172">
        <v>0</v>
      </c>
      <c r="L98" s="172">
        <v>0</v>
      </c>
      <c r="M98" s="204" t="s">
        <v>808</v>
      </c>
      <c r="N98" s="64">
        <f>I98+I99</f>
        <v>278.04858000000002</v>
      </c>
    </row>
    <row r="99" spans="1:16" ht="90" x14ac:dyDescent="0.25">
      <c r="A99" s="10"/>
      <c r="B99" s="11"/>
      <c r="C99" s="10" t="s">
        <v>329</v>
      </c>
      <c r="D99" s="11" t="s">
        <v>327</v>
      </c>
      <c r="E99" s="19" t="s">
        <v>314</v>
      </c>
      <c r="F99" s="14" t="s">
        <v>65</v>
      </c>
      <c r="G99" s="172">
        <v>73</v>
      </c>
      <c r="H99" s="172">
        <v>72.551469999999995</v>
      </c>
      <c r="I99" s="177">
        <v>87.551469999999995</v>
      </c>
      <c r="J99" s="172">
        <v>0</v>
      </c>
      <c r="K99" s="172">
        <v>0</v>
      </c>
      <c r="L99" s="172">
        <v>0</v>
      </c>
    </row>
    <row r="100" spans="1:16" ht="90" x14ac:dyDescent="0.25">
      <c r="A100" s="10"/>
      <c r="B100" s="11"/>
      <c r="C100" s="10" t="s">
        <v>709</v>
      </c>
      <c r="D100" s="11" t="s">
        <v>708</v>
      </c>
      <c r="E100" s="19" t="s">
        <v>710</v>
      </c>
      <c r="F100" s="14"/>
      <c r="G100" s="172">
        <v>0</v>
      </c>
      <c r="H100" s="172">
        <v>0</v>
      </c>
      <c r="I100" s="177">
        <v>0</v>
      </c>
      <c r="J100" s="172">
        <v>357.6</v>
      </c>
      <c r="K100" s="172">
        <v>321.8</v>
      </c>
      <c r="L100" s="172">
        <v>289.60000000000002</v>
      </c>
    </row>
    <row r="101" spans="1:16" s="17" customFormat="1" ht="75" x14ac:dyDescent="0.25">
      <c r="A101" s="16"/>
      <c r="B101" s="15" t="s">
        <v>332</v>
      </c>
      <c r="C101" s="16" t="s">
        <v>331</v>
      </c>
      <c r="D101" s="15" t="s">
        <v>332</v>
      </c>
      <c r="E101" s="21"/>
      <c r="F101" s="14" t="s">
        <v>66</v>
      </c>
      <c r="G101" s="171">
        <f t="shared" ref="G101:I101" si="37">G102+G103</f>
        <v>150</v>
      </c>
      <c r="H101" s="171">
        <f>H102+H103</f>
        <v>133.62260000000001</v>
      </c>
      <c r="I101" s="171">
        <f t="shared" si="37"/>
        <v>133.62260000000001</v>
      </c>
      <c r="J101" s="171">
        <f>J102+J103</f>
        <v>100</v>
      </c>
      <c r="K101" s="171">
        <f t="shared" ref="K101:L101" si="38">K102+K103</f>
        <v>90</v>
      </c>
      <c r="L101" s="171">
        <f t="shared" si="38"/>
        <v>81</v>
      </c>
      <c r="P101" s="134" t="e">
        <f>P102+#REF!+P115+P117+P119+#REF!+#REF!+P109+#REF!+P104+#REF!+#REF!+P106+P123+#REF!+P124+P125+P128+P131</f>
        <v>#REF!</v>
      </c>
    </row>
    <row r="102" spans="1:16" ht="75" x14ac:dyDescent="0.25">
      <c r="A102" s="10"/>
      <c r="B102" s="11"/>
      <c r="C102" s="10" t="s">
        <v>330</v>
      </c>
      <c r="D102" s="11" t="s">
        <v>328</v>
      </c>
      <c r="E102" s="19" t="s">
        <v>314</v>
      </c>
      <c r="F102" s="14" t="s">
        <v>67</v>
      </c>
      <c r="G102" s="172">
        <v>150</v>
      </c>
      <c r="H102" s="172">
        <v>133.62260000000001</v>
      </c>
      <c r="I102" s="177">
        <f>H102</f>
        <v>133.62260000000001</v>
      </c>
      <c r="J102" s="172">
        <v>0</v>
      </c>
      <c r="K102" s="172">
        <v>0</v>
      </c>
      <c r="L102" s="172">
        <v>0</v>
      </c>
    </row>
    <row r="103" spans="1:16" ht="75" x14ac:dyDescent="0.25">
      <c r="A103" s="10"/>
      <c r="B103" s="11"/>
      <c r="C103" s="10" t="s">
        <v>711</v>
      </c>
      <c r="D103" s="11" t="s">
        <v>712</v>
      </c>
      <c r="E103" s="19" t="s">
        <v>710</v>
      </c>
      <c r="F103" s="14"/>
      <c r="G103" s="172">
        <v>0</v>
      </c>
      <c r="H103" s="172">
        <v>0</v>
      </c>
      <c r="I103" s="177">
        <v>0</v>
      </c>
      <c r="J103" s="172">
        <v>100</v>
      </c>
      <c r="K103" s="172">
        <v>90</v>
      </c>
      <c r="L103" s="172">
        <v>81</v>
      </c>
    </row>
    <row r="104" spans="1:16" s="8" customFormat="1" ht="29.25" x14ac:dyDescent="0.25">
      <c r="A104" s="13"/>
      <c r="B104" s="12" t="s">
        <v>165</v>
      </c>
      <c r="C104" s="13" t="s">
        <v>167</v>
      </c>
      <c r="D104" s="12" t="s">
        <v>166</v>
      </c>
      <c r="E104" s="20"/>
      <c r="F104" s="14" t="s">
        <v>248</v>
      </c>
      <c r="G104" s="173">
        <f>G105+G108+G112+G114+G116+G118+G120+G124+G126+G129+G132+G137+G139+G122</f>
        <v>405.79194999999999</v>
      </c>
      <c r="H104" s="173">
        <f t="shared" ref="H104:L104" si="39">H105+H108+H112+H114+H116+H118+H120+H124+H126+H129+H132+H137+H139+H122</f>
        <v>486.60763000000003</v>
      </c>
      <c r="I104" s="173">
        <f t="shared" si="39"/>
        <v>528.47975399999996</v>
      </c>
      <c r="J104" s="173">
        <f t="shared" si="39"/>
        <v>551.29999999999995</v>
      </c>
      <c r="K104" s="173">
        <f t="shared" si="39"/>
        <v>576.69999999999993</v>
      </c>
      <c r="L104" s="173">
        <f t="shared" si="39"/>
        <v>599.79999999999995</v>
      </c>
      <c r="O104" s="8">
        <v>315.5</v>
      </c>
      <c r="P104" s="133">
        <f>O104-J104</f>
        <v>-235.79999999999995</v>
      </c>
    </row>
    <row r="105" spans="1:16" s="8" customFormat="1" ht="100.5" x14ac:dyDescent="0.25">
      <c r="A105" s="13"/>
      <c r="B105" s="12"/>
      <c r="C105" s="13" t="s">
        <v>517</v>
      </c>
      <c r="D105" s="12" t="s">
        <v>519</v>
      </c>
      <c r="E105" s="20"/>
      <c r="F105" s="14" t="s">
        <v>136</v>
      </c>
      <c r="G105" s="173">
        <f>G107+G106</f>
        <v>1.3</v>
      </c>
      <c r="H105" s="173">
        <f>H107+H106</f>
        <v>4.7</v>
      </c>
      <c r="I105" s="173">
        <f t="shared" ref="I105:L105" si="40">I107+I106</f>
        <v>4.7</v>
      </c>
      <c r="J105" s="173">
        <f t="shared" si="40"/>
        <v>5</v>
      </c>
      <c r="K105" s="173">
        <f t="shared" si="40"/>
        <v>5.2</v>
      </c>
      <c r="L105" s="173">
        <f t="shared" si="40"/>
        <v>5.4</v>
      </c>
    </row>
    <row r="106" spans="1:16" ht="90" x14ac:dyDescent="0.25">
      <c r="A106" s="10"/>
      <c r="B106" s="11"/>
      <c r="C106" s="10" t="s">
        <v>352</v>
      </c>
      <c r="D106" s="11" t="s">
        <v>339</v>
      </c>
      <c r="E106" s="128" t="s">
        <v>353</v>
      </c>
      <c r="F106" s="14" t="s">
        <v>190</v>
      </c>
      <c r="G106" s="175">
        <v>1.3</v>
      </c>
      <c r="H106" s="180">
        <v>2.5</v>
      </c>
      <c r="I106" s="180">
        <f>H106</f>
        <v>2.5</v>
      </c>
      <c r="J106" s="175">
        <v>5</v>
      </c>
      <c r="K106" s="175">
        <v>5.2</v>
      </c>
      <c r="L106" s="175">
        <v>5.4</v>
      </c>
    </row>
    <row r="107" spans="1:16" ht="90" x14ac:dyDescent="0.25">
      <c r="A107" s="10"/>
      <c r="B107" s="11"/>
      <c r="C107" s="10" t="s">
        <v>648</v>
      </c>
      <c r="D107" s="11" t="s">
        <v>339</v>
      </c>
      <c r="E107" s="19" t="s">
        <v>313</v>
      </c>
      <c r="F107" s="14" t="s">
        <v>138</v>
      </c>
      <c r="G107" s="175">
        <v>0</v>
      </c>
      <c r="H107" s="180">
        <v>2.2000000000000002</v>
      </c>
      <c r="I107" s="180">
        <f>H107</f>
        <v>2.2000000000000002</v>
      </c>
      <c r="J107" s="175">
        <v>0</v>
      </c>
      <c r="K107" s="172">
        <v>0</v>
      </c>
      <c r="L107" s="172">
        <v>0</v>
      </c>
    </row>
    <row r="108" spans="1:16" s="8" customFormat="1" ht="129" x14ac:dyDescent="0.25">
      <c r="A108" s="13"/>
      <c r="B108" s="12"/>
      <c r="C108" s="13" t="s">
        <v>518</v>
      </c>
      <c r="D108" s="12" t="s">
        <v>341</v>
      </c>
      <c r="E108" s="20"/>
      <c r="F108" s="14" t="s">
        <v>176</v>
      </c>
      <c r="G108" s="173">
        <f>G109+G110+G111</f>
        <v>47.8</v>
      </c>
      <c r="H108" s="179">
        <f>H109+H110+H111</f>
        <v>40.276429999999998</v>
      </c>
      <c r="I108" s="179">
        <f t="shared" ref="I108:L108" si="41">I109+I110+I111</f>
        <v>46.849999999999994</v>
      </c>
      <c r="J108" s="173">
        <f t="shared" si="41"/>
        <v>37.5</v>
      </c>
      <c r="K108" s="173">
        <f t="shared" si="41"/>
        <v>39.200000000000003</v>
      </c>
      <c r="L108" s="173">
        <f t="shared" si="41"/>
        <v>40.799999999999997</v>
      </c>
    </row>
    <row r="109" spans="1:16" ht="105" x14ac:dyDescent="0.25">
      <c r="A109" s="10"/>
      <c r="B109" s="11"/>
      <c r="C109" s="10" t="s">
        <v>342</v>
      </c>
      <c r="D109" s="11" t="s">
        <v>341</v>
      </c>
      <c r="E109" s="19" t="s">
        <v>340</v>
      </c>
      <c r="F109" s="14" t="s">
        <v>177</v>
      </c>
      <c r="G109" s="175">
        <v>7</v>
      </c>
      <c r="H109" s="180">
        <v>0</v>
      </c>
      <c r="I109" s="180">
        <v>0</v>
      </c>
      <c r="J109" s="175">
        <v>0</v>
      </c>
      <c r="K109" s="175">
        <v>0</v>
      </c>
      <c r="L109" s="175">
        <v>0</v>
      </c>
    </row>
    <row r="110" spans="1:16" ht="105" x14ac:dyDescent="0.25">
      <c r="A110" s="10"/>
      <c r="B110" s="11"/>
      <c r="C110" s="10" t="s">
        <v>515</v>
      </c>
      <c r="D110" s="11" t="s">
        <v>341</v>
      </c>
      <c r="E110" s="19" t="s">
        <v>353</v>
      </c>
      <c r="F110" s="14" t="s">
        <v>178</v>
      </c>
      <c r="G110" s="175">
        <v>40.799999999999997</v>
      </c>
      <c r="H110" s="180">
        <v>34.226430000000001</v>
      </c>
      <c r="I110" s="180">
        <f>G110</f>
        <v>40.799999999999997</v>
      </c>
      <c r="J110" s="175">
        <v>37.5</v>
      </c>
      <c r="K110" s="175">
        <v>39.200000000000003</v>
      </c>
      <c r="L110" s="175">
        <v>40.799999999999997</v>
      </c>
    </row>
    <row r="111" spans="1:16" ht="105" x14ac:dyDescent="0.25">
      <c r="A111" s="10"/>
      <c r="B111" s="11"/>
      <c r="C111" s="10" t="s">
        <v>516</v>
      </c>
      <c r="D111" s="11" t="s">
        <v>341</v>
      </c>
      <c r="E111" s="19" t="s">
        <v>313</v>
      </c>
      <c r="F111" s="14" t="s">
        <v>179</v>
      </c>
      <c r="G111" s="175">
        <v>0</v>
      </c>
      <c r="H111" s="180">
        <v>6.05</v>
      </c>
      <c r="I111" s="180">
        <f>H111</f>
        <v>6.05</v>
      </c>
      <c r="J111" s="175">
        <v>0</v>
      </c>
      <c r="K111" s="175">
        <v>0</v>
      </c>
      <c r="L111" s="175">
        <v>0</v>
      </c>
    </row>
    <row r="112" spans="1:16" s="8" customFormat="1" ht="100.5" x14ac:dyDescent="0.25">
      <c r="A112" s="13"/>
      <c r="B112" s="12"/>
      <c r="C112" s="13" t="s">
        <v>520</v>
      </c>
      <c r="D112" s="12" t="s">
        <v>344</v>
      </c>
      <c r="E112" s="20"/>
      <c r="F112" s="14" t="s">
        <v>180</v>
      </c>
      <c r="G112" s="173">
        <f>G113</f>
        <v>2</v>
      </c>
      <c r="H112" s="173">
        <f t="shared" ref="H112:L112" si="42">H113</f>
        <v>6.65</v>
      </c>
      <c r="I112" s="173">
        <f t="shared" si="42"/>
        <v>6.65</v>
      </c>
      <c r="J112" s="173">
        <f t="shared" si="42"/>
        <v>7</v>
      </c>
      <c r="K112" s="173">
        <f t="shared" si="42"/>
        <v>7.3</v>
      </c>
      <c r="L112" s="173">
        <f t="shared" si="42"/>
        <v>7.6</v>
      </c>
    </row>
    <row r="113" spans="1:12" ht="90" x14ac:dyDescent="0.25">
      <c r="A113" s="10"/>
      <c r="B113" s="11"/>
      <c r="C113" s="10" t="s">
        <v>354</v>
      </c>
      <c r="D113" s="11" t="s">
        <v>344</v>
      </c>
      <c r="E113" s="19" t="s">
        <v>353</v>
      </c>
      <c r="F113" s="14" t="s">
        <v>182</v>
      </c>
      <c r="G113" s="175">
        <v>2</v>
      </c>
      <c r="H113" s="180">
        <v>6.65</v>
      </c>
      <c r="I113" s="180">
        <f>H113</f>
        <v>6.65</v>
      </c>
      <c r="J113" s="175">
        <v>7</v>
      </c>
      <c r="K113" s="175">
        <v>7.3</v>
      </c>
      <c r="L113" s="175">
        <v>7.6</v>
      </c>
    </row>
    <row r="114" spans="1:12" s="8" customFormat="1" ht="114.75" x14ac:dyDescent="0.25">
      <c r="A114" s="13"/>
      <c r="B114" s="12"/>
      <c r="C114" s="13" t="s">
        <v>522</v>
      </c>
      <c r="D114" s="12" t="s">
        <v>346</v>
      </c>
      <c r="E114" s="20"/>
      <c r="F114" s="14" t="s">
        <v>183</v>
      </c>
      <c r="G114" s="173">
        <f>G115</f>
        <v>5</v>
      </c>
      <c r="H114" s="179">
        <f t="shared" ref="H114:L114" si="43">H115</f>
        <v>-5</v>
      </c>
      <c r="I114" s="179">
        <f t="shared" si="43"/>
        <v>-5</v>
      </c>
      <c r="J114" s="173">
        <f t="shared" si="43"/>
        <v>0</v>
      </c>
      <c r="K114" s="173">
        <f t="shared" si="43"/>
        <v>0</v>
      </c>
      <c r="L114" s="173">
        <f t="shared" si="43"/>
        <v>0</v>
      </c>
    </row>
    <row r="115" spans="1:12" ht="105" x14ac:dyDescent="0.25">
      <c r="A115" s="10"/>
      <c r="B115" s="11"/>
      <c r="C115" s="10" t="s">
        <v>521</v>
      </c>
      <c r="D115" s="11" t="s">
        <v>346</v>
      </c>
      <c r="E115" s="19" t="s">
        <v>353</v>
      </c>
      <c r="F115" s="14" t="s">
        <v>184</v>
      </c>
      <c r="G115" s="175">
        <v>5</v>
      </c>
      <c r="H115" s="180">
        <v>-5</v>
      </c>
      <c r="I115" s="180">
        <f>H115</f>
        <v>-5</v>
      </c>
      <c r="J115" s="175">
        <v>0</v>
      </c>
      <c r="K115" s="175">
        <v>0</v>
      </c>
      <c r="L115" s="175">
        <v>0</v>
      </c>
    </row>
    <row r="116" spans="1:12" s="8" customFormat="1" ht="86.25" x14ac:dyDescent="0.25">
      <c r="A116" s="13"/>
      <c r="B116" s="12"/>
      <c r="C116" s="13" t="s">
        <v>524</v>
      </c>
      <c r="D116" s="12" t="s">
        <v>348</v>
      </c>
      <c r="E116" s="20"/>
      <c r="F116" s="14" t="s">
        <v>185</v>
      </c>
      <c r="G116" s="173">
        <f>G117</f>
        <v>24</v>
      </c>
      <c r="H116" s="179">
        <f t="shared" ref="H116:L116" si="44">H117</f>
        <v>0.5</v>
      </c>
      <c r="I116" s="179">
        <f t="shared" si="44"/>
        <v>0.5</v>
      </c>
      <c r="J116" s="173">
        <f t="shared" si="44"/>
        <v>0</v>
      </c>
      <c r="K116" s="173">
        <f t="shared" si="44"/>
        <v>0</v>
      </c>
      <c r="L116" s="173">
        <f t="shared" si="44"/>
        <v>0</v>
      </c>
    </row>
    <row r="117" spans="1:12" ht="75" x14ac:dyDescent="0.25">
      <c r="A117" s="10"/>
      <c r="B117" s="11"/>
      <c r="C117" s="10" t="s">
        <v>523</v>
      </c>
      <c r="D117" s="11" t="s">
        <v>348</v>
      </c>
      <c r="E117" s="19" t="s">
        <v>353</v>
      </c>
      <c r="F117" s="14" t="s">
        <v>186</v>
      </c>
      <c r="G117" s="175">
        <v>24</v>
      </c>
      <c r="H117" s="180">
        <v>0.5</v>
      </c>
      <c r="I117" s="180">
        <f>H117</f>
        <v>0.5</v>
      </c>
      <c r="J117" s="175">
        <v>0</v>
      </c>
      <c r="K117" s="175">
        <v>0</v>
      </c>
      <c r="L117" s="175">
        <v>0</v>
      </c>
    </row>
    <row r="118" spans="1:12" s="8" customFormat="1" ht="114.75" x14ac:dyDescent="0.25">
      <c r="A118" s="13"/>
      <c r="B118" s="12"/>
      <c r="C118" s="13" t="s">
        <v>526</v>
      </c>
      <c r="D118" s="12" t="s">
        <v>525</v>
      </c>
      <c r="E118" s="20"/>
      <c r="F118" s="14" t="s">
        <v>187</v>
      </c>
      <c r="G118" s="173">
        <f>G119</f>
        <v>22</v>
      </c>
      <c r="H118" s="179">
        <f t="shared" ref="H118:L118" si="45">H119</f>
        <v>33.25</v>
      </c>
      <c r="I118" s="179">
        <f t="shared" si="45"/>
        <v>39.900000000000006</v>
      </c>
      <c r="J118" s="173">
        <f t="shared" si="45"/>
        <v>43</v>
      </c>
      <c r="K118" s="173">
        <f t="shared" si="45"/>
        <v>45</v>
      </c>
      <c r="L118" s="173">
        <f t="shared" si="45"/>
        <v>46.8</v>
      </c>
    </row>
    <row r="119" spans="1:12" ht="105" x14ac:dyDescent="0.25">
      <c r="A119" s="10"/>
      <c r="B119" s="11"/>
      <c r="C119" s="10" t="s">
        <v>355</v>
      </c>
      <c r="D119" s="11" t="s">
        <v>525</v>
      </c>
      <c r="E119" s="19" t="s">
        <v>353</v>
      </c>
      <c r="F119" s="14" t="s">
        <v>188</v>
      </c>
      <c r="G119" s="175">
        <v>22</v>
      </c>
      <c r="H119" s="180">
        <v>33.25</v>
      </c>
      <c r="I119" s="180">
        <f>H119/10*12</f>
        <v>39.900000000000006</v>
      </c>
      <c r="J119" s="175">
        <v>43</v>
      </c>
      <c r="K119" s="175">
        <v>45</v>
      </c>
      <c r="L119" s="175">
        <v>46.8</v>
      </c>
    </row>
    <row r="120" spans="1:12" s="8" customFormat="1" ht="143.25" x14ac:dyDescent="0.25">
      <c r="A120" s="13"/>
      <c r="B120" s="12"/>
      <c r="C120" s="13" t="s">
        <v>812</v>
      </c>
      <c r="D120" s="12" t="s">
        <v>813</v>
      </c>
      <c r="E120" s="20"/>
      <c r="F120" s="14"/>
      <c r="G120" s="173">
        <f>G121</f>
        <v>0</v>
      </c>
      <c r="H120" s="173">
        <f t="shared" ref="H120:L120" si="46">H121</f>
        <v>7.95</v>
      </c>
      <c r="I120" s="173">
        <f t="shared" si="46"/>
        <v>7.95</v>
      </c>
      <c r="J120" s="173">
        <f t="shared" si="46"/>
        <v>10.9</v>
      </c>
      <c r="K120" s="173">
        <f t="shared" si="46"/>
        <v>11.4</v>
      </c>
      <c r="L120" s="173">
        <f t="shared" si="46"/>
        <v>11.9</v>
      </c>
    </row>
    <row r="121" spans="1:12" s="8" customFormat="1" ht="120" x14ac:dyDescent="0.25">
      <c r="A121" s="13"/>
      <c r="B121" s="12"/>
      <c r="C121" s="10" t="s">
        <v>357</v>
      </c>
      <c r="D121" s="11" t="s">
        <v>813</v>
      </c>
      <c r="E121" s="19" t="s">
        <v>353</v>
      </c>
      <c r="F121" s="14"/>
      <c r="G121" s="175">
        <v>0</v>
      </c>
      <c r="H121" s="180">
        <v>7.95</v>
      </c>
      <c r="I121" s="180">
        <f>H121</f>
        <v>7.95</v>
      </c>
      <c r="J121" s="175">
        <v>10.9</v>
      </c>
      <c r="K121" s="175">
        <v>11.4</v>
      </c>
      <c r="L121" s="175">
        <v>11.9</v>
      </c>
    </row>
    <row r="122" spans="1:12" s="8" customFormat="1" ht="129" x14ac:dyDescent="0.25">
      <c r="A122" s="13"/>
      <c r="B122" s="12"/>
      <c r="C122" s="13" t="s">
        <v>810</v>
      </c>
      <c r="D122" s="12" t="s">
        <v>719</v>
      </c>
      <c r="E122" s="129"/>
      <c r="F122" s="14" t="s">
        <v>191</v>
      </c>
      <c r="G122" s="173">
        <f>G123</f>
        <v>0</v>
      </c>
      <c r="H122" s="179">
        <f t="shared" ref="H122:L124" si="47">H123</f>
        <v>32</v>
      </c>
      <c r="I122" s="179">
        <f t="shared" si="47"/>
        <v>32</v>
      </c>
      <c r="J122" s="173">
        <f t="shared" si="47"/>
        <v>50</v>
      </c>
      <c r="K122" s="173">
        <f t="shared" si="47"/>
        <v>52.3</v>
      </c>
      <c r="L122" s="173">
        <f t="shared" si="47"/>
        <v>54.4</v>
      </c>
    </row>
    <row r="123" spans="1:12" ht="105" x14ac:dyDescent="0.25">
      <c r="A123" s="10"/>
      <c r="B123" s="11"/>
      <c r="C123" s="10" t="s">
        <v>811</v>
      </c>
      <c r="D123" s="11" t="s">
        <v>719</v>
      </c>
      <c r="E123" s="128" t="s">
        <v>353</v>
      </c>
      <c r="F123" s="14" t="s">
        <v>192</v>
      </c>
      <c r="G123" s="175">
        <v>0</v>
      </c>
      <c r="H123" s="180">
        <v>32</v>
      </c>
      <c r="I123" s="180">
        <f>H123</f>
        <v>32</v>
      </c>
      <c r="J123" s="175">
        <v>50</v>
      </c>
      <c r="K123" s="175">
        <v>52.3</v>
      </c>
      <c r="L123" s="175">
        <v>54.4</v>
      </c>
    </row>
    <row r="124" spans="1:12" s="8" customFormat="1" ht="186" x14ac:dyDescent="0.25">
      <c r="A124" s="13"/>
      <c r="B124" s="12"/>
      <c r="C124" s="13" t="s">
        <v>815</v>
      </c>
      <c r="D124" s="12" t="s">
        <v>814</v>
      </c>
      <c r="E124" s="129"/>
      <c r="F124" s="14" t="s">
        <v>191</v>
      </c>
      <c r="G124" s="173">
        <f>G125</f>
        <v>0</v>
      </c>
      <c r="H124" s="179">
        <f t="shared" si="47"/>
        <v>0.25</v>
      </c>
      <c r="I124" s="179">
        <f t="shared" si="47"/>
        <v>0.25</v>
      </c>
      <c r="J124" s="173">
        <f t="shared" si="47"/>
        <v>0</v>
      </c>
      <c r="K124" s="173">
        <f t="shared" si="47"/>
        <v>0</v>
      </c>
      <c r="L124" s="173">
        <f t="shared" si="47"/>
        <v>0</v>
      </c>
    </row>
    <row r="125" spans="1:12" ht="165" x14ac:dyDescent="0.25">
      <c r="A125" s="10"/>
      <c r="B125" s="11"/>
      <c r="C125" s="10" t="s">
        <v>816</v>
      </c>
      <c r="D125" s="11" t="s">
        <v>814</v>
      </c>
      <c r="E125" s="128" t="s">
        <v>353</v>
      </c>
      <c r="F125" s="14" t="s">
        <v>192</v>
      </c>
      <c r="G125" s="175">
        <v>0</v>
      </c>
      <c r="H125" s="180">
        <v>0.25</v>
      </c>
      <c r="I125" s="180">
        <f>H125</f>
        <v>0.25</v>
      </c>
      <c r="J125" s="175">
        <v>0</v>
      </c>
      <c r="K125" s="175">
        <v>0</v>
      </c>
      <c r="L125" s="175">
        <v>0</v>
      </c>
    </row>
    <row r="126" spans="1:12" ht="100.5" x14ac:dyDescent="0.25">
      <c r="A126" s="10"/>
      <c r="B126" s="12"/>
      <c r="C126" s="13" t="s">
        <v>529</v>
      </c>
      <c r="D126" s="12" t="s">
        <v>360</v>
      </c>
      <c r="E126" s="150"/>
      <c r="F126" s="14" t="s">
        <v>193</v>
      </c>
      <c r="G126" s="173">
        <f>G127+G128</f>
        <v>56</v>
      </c>
      <c r="H126" s="179">
        <f t="shared" ref="H126:L126" si="48">H127+H128</f>
        <v>138.72537</v>
      </c>
      <c r="I126" s="179">
        <f t="shared" si="48"/>
        <v>166.47044399999999</v>
      </c>
      <c r="J126" s="173">
        <f t="shared" si="48"/>
        <v>179.4</v>
      </c>
      <c r="K126" s="173">
        <f t="shared" si="48"/>
        <v>187.7</v>
      </c>
      <c r="L126" s="173">
        <f t="shared" si="48"/>
        <v>195.2</v>
      </c>
    </row>
    <row r="127" spans="1:12" s="8" customFormat="1" ht="90" x14ac:dyDescent="0.25">
      <c r="A127" s="13"/>
      <c r="B127" s="11"/>
      <c r="C127" s="10" t="s">
        <v>359</v>
      </c>
      <c r="D127" s="11" t="s">
        <v>360</v>
      </c>
      <c r="E127" s="149" t="s">
        <v>353</v>
      </c>
      <c r="F127" s="14" t="s">
        <v>194</v>
      </c>
      <c r="G127" s="175">
        <v>55</v>
      </c>
      <c r="H127" s="180">
        <v>138.72537</v>
      </c>
      <c r="I127" s="180">
        <f>H127/10*12</f>
        <v>166.47044399999999</v>
      </c>
      <c r="J127" s="175">
        <v>179.4</v>
      </c>
      <c r="K127" s="175">
        <v>187.7</v>
      </c>
      <c r="L127" s="175">
        <v>195.2</v>
      </c>
    </row>
    <row r="128" spans="1:12" ht="90" x14ac:dyDescent="0.25">
      <c r="A128" s="10"/>
      <c r="B128" s="11"/>
      <c r="C128" s="10" t="s">
        <v>530</v>
      </c>
      <c r="D128" s="11" t="s">
        <v>360</v>
      </c>
      <c r="E128" s="149" t="s">
        <v>313</v>
      </c>
      <c r="F128" s="14" t="s">
        <v>195</v>
      </c>
      <c r="G128" s="175">
        <v>1</v>
      </c>
      <c r="H128" s="180">
        <v>0</v>
      </c>
      <c r="I128" s="180">
        <v>0</v>
      </c>
      <c r="J128" s="175">
        <v>0</v>
      </c>
      <c r="K128" s="175">
        <v>0</v>
      </c>
      <c r="L128" s="175">
        <v>0</v>
      </c>
    </row>
    <row r="129" spans="1:12" ht="114.75" x14ac:dyDescent="0.25">
      <c r="A129" s="10"/>
      <c r="B129" s="12"/>
      <c r="C129" s="13" t="s">
        <v>532</v>
      </c>
      <c r="D129" s="12" t="s">
        <v>346</v>
      </c>
      <c r="E129" s="150"/>
      <c r="F129" s="14" t="s">
        <v>196</v>
      </c>
      <c r="G129" s="173">
        <f>G130+G131</f>
        <v>121.4</v>
      </c>
      <c r="H129" s="173">
        <f t="shared" ref="H129:L129" si="49">H130+H131</f>
        <v>123.14652000000001</v>
      </c>
      <c r="I129" s="173">
        <f t="shared" si="49"/>
        <v>124.05000000000001</v>
      </c>
      <c r="J129" s="173">
        <f t="shared" si="49"/>
        <v>100</v>
      </c>
      <c r="K129" s="173">
        <f t="shared" si="49"/>
        <v>104.6</v>
      </c>
      <c r="L129" s="173">
        <f t="shared" si="49"/>
        <v>108.8</v>
      </c>
    </row>
    <row r="130" spans="1:12" s="8" customFormat="1" ht="105" x14ac:dyDescent="0.25">
      <c r="A130" s="13"/>
      <c r="B130" s="11"/>
      <c r="C130" s="10" t="s">
        <v>361</v>
      </c>
      <c r="D130" s="11" t="s">
        <v>346</v>
      </c>
      <c r="E130" s="149" t="s">
        <v>353</v>
      </c>
      <c r="F130" s="14" t="s">
        <v>198</v>
      </c>
      <c r="G130" s="175">
        <v>121.4</v>
      </c>
      <c r="H130" s="180">
        <v>120.49652</v>
      </c>
      <c r="I130" s="180">
        <f>G130</f>
        <v>121.4</v>
      </c>
      <c r="J130" s="175">
        <v>100</v>
      </c>
      <c r="K130" s="175">
        <v>104.6</v>
      </c>
      <c r="L130" s="175">
        <v>108.8</v>
      </c>
    </row>
    <row r="131" spans="1:12" ht="105" x14ac:dyDescent="0.25">
      <c r="A131" s="10"/>
      <c r="B131" s="11"/>
      <c r="C131" s="10" t="s">
        <v>531</v>
      </c>
      <c r="D131" s="11" t="s">
        <v>346</v>
      </c>
      <c r="E131" s="149" t="s">
        <v>313</v>
      </c>
      <c r="F131" s="14" t="s">
        <v>199</v>
      </c>
      <c r="G131" s="175">
        <v>0</v>
      </c>
      <c r="H131" s="180">
        <v>2.65</v>
      </c>
      <c r="I131" s="180">
        <f>H131</f>
        <v>2.65</v>
      </c>
      <c r="J131" s="175">
        <v>0</v>
      </c>
      <c r="K131" s="175">
        <v>0</v>
      </c>
      <c r="L131" s="175">
        <v>0</v>
      </c>
    </row>
    <row r="132" spans="1:12" ht="72" x14ac:dyDescent="0.25">
      <c r="A132" s="10"/>
      <c r="B132" s="12"/>
      <c r="C132" s="13" t="s">
        <v>535</v>
      </c>
      <c r="D132" s="12" t="s">
        <v>335</v>
      </c>
      <c r="E132" s="150"/>
      <c r="F132" s="14" t="s">
        <v>202</v>
      </c>
      <c r="G132" s="173">
        <f>G133+G134+G136+G135</f>
        <v>126.29195</v>
      </c>
      <c r="H132" s="173">
        <f t="shared" ref="H132:L132" si="50">H133+H134+H136+H135</f>
        <v>98.199309999999997</v>
      </c>
      <c r="I132" s="173">
        <f t="shared" si="50"/>
        <v>98.199309999999997</v>
      </c>
      <c r="J132" s="173">
        <f t="shared" si="50"/>
        <v>118.5</v>
      </c>
      <c r="K132" s="173">
        <f t="shared" si="50"/>
        <v>124</v>
      </c>
      <c r="L132" s="173">
        <f t="shared" si="50"/>
        <v>128.9</v>
      </c>
    </row>
    <row r="133" spans="1:12" ht="75" x14ac:dyDescent="0.25">
      <c r="A133" s="10"/>
      <c r="B133" s="11"/>
      <c r="C133" s="10" t="s">
        <v>536</v>
      </c>
      <c r="D133" s="11" t="s">
        <v>335</v>
      </c>
      <c r="E133" s="149" t="s">
        <v>537</v>
      </c>
      <c r="F133" s="14" t="s">
        <v>203</v>
      </c>
      <c r="G133" s="175">
        <v>90.29195</v>
      </c>
      <c r="H133" s="180">
        <v>96.469309999999993</v>
      </c>
      <c r="I133" s="180">
        <f>H133</f>
        <v>96.469309999999993</v>
      </c>
      <c r="J133" s="175">
        <v>118.5</v>
      </c>
      <c r="K133" s="175">
        <v>124</v>
      </c>
      <c r="L133" s="175">
        <v>128.9</v>
      </c>
    </row>
    <row r="134" spans="1:12" s="8" customFormat="1" ht="75" x14ac:dyDescent="0.25">
      <c r="A134" s="13"/>
      <c r="B134" s="11"/>
      <c r="C134" s="10" t="s">
        <v>538</v>
      </c>
      <c r="D134" s="11" t="s">
        <v>335</v>
      </c>
      <c r="E134" s="149" t="s">
        <v>310</v>
      </c>
      <c r="F134" s="14" t="s">
        <v>204</v>
      </c>
      <c r="G134" s="175">
        <v>35</v>
      </c>
      <c r="H134" s="180">
        <v>0</v>
      </c>
      <c r="I134" s="180">
        <v>0</v>
      </c>
      <c r="J134" s="175">
        <v>0</v>
      </c>
      <c r="K134" s="175">
        <v>0</v>
      </c>
      <c r="L134" s="175">
        <v>0</v>
      </c>
    </row>
    <row r="135" spans="1:12" s="8" customFormat="1" ht="75" x14ac:dyDescent="0.25">
      <c r="A135" s="13"/>
      <c r="B135" s="11"/>
      <c r="C135" s="10" t="s">
        <v>817</v>
      </c>
      <c r="D135" s="11" t="s">
        <v>335</v>
      </c>
      <c r="E135" s="149" t="s">
        <v>353</v>
      </c>
      <c r="F135" s="14"/>
      <c r="G135" s="175">
        <v>0</v>
      </c>
      <c r="H135" s="180">
        <v>1.73</v>
      </c>
      <c r="I135" s="180">
        <v>1.73</v>
      </c>
      <c r="J135" s="175">
        <v>0</v>
      </c>
      <c r="K135" s="175">
        <v>0</v>
      </c>
      <c r="L135" s="175">
        <v>0</v>
      </c>
    </row>
    <row r="136" spans="1:12" ht="75" x14ac:dyDescent="0.25">
      <c r="A136" s="10"/>
      <c r="B136" s="11"/>
      <c r="C136" s="10" t="s">
        <v>539</v>
      </c>
      <c r="D136" s="11" t="s">
        <v>335</v>
      </c>
      <c r="E136" s="128" t="s">
        <v>313</v>
      </c>
      <c r="F136" s="14" t="s">
        <v>205</v>
      </c>
      <c r="G136" s="175">
        <v>1</v>
      </c>
      <c r="H136" s="180">
        <v>0</v>
      </c>
      <c r="I136" s="180">
        <v>0</v>
      </c>
      <c r="J136" s="175">
        <v>0</v>
      </c>
      <c r="K136" s="175">
        <v>0</v>
      </c>
      <c r="L136" s="175">
        <v>0</v>
      </c>
    </row>
    <row r="137" spans="1:12" s="8" customFormat="1" ht="86.25" x14ac:dyDescent="0.25">
      <c r="A137" s="13"/>
      <c r="B137" s="12"/>
      <c r="C137" s="13" t="s">
        <v>541</v>
      </c>
      <c r="D137" s="12" t="s">
        <v>540</v>
      </c>
      <c r="E137" s="129"/>
      <c r="F137" s="14" t="s">
        <v>206</v>
      </c>
      <c r="G137" s="173">
        <f>G138</f>
        <v>0</v>
      </c>
      <c r="H137" s="179">
        <f t="shared" ref="H137:L137" si="51">H138</f>
        <v>5</v>
      </c>
      <c r="I137" s="179">
        <f t="shared" si="51"/>
        <v>5</v>
      </c>
      <c r="J137" s="173">
        <f t="shared" si="51"/>
        <v>0</v>
      </c>
      <c r="K137" s="173">
        <f t="shared" si="51"/>
        <v>0</v>
      </c>
      <c r="L137" s="173">
        <f t="shared" si="51"/>
        <v>0</v>
      </c>
    </row>
    <row r="138" spans="1:12" ht="75" x14ac:dyDescent="0.25">
      <c r="A138" s="10"/>
      <c r="B138" s="11"/>
      <c r="C138" s="10" t="s">
        <v>347</v>
      </c>
      <c r="D138" s="11" t="s">
        <v>540</v>
      </c>
      <c r="E138" s="128" t="s">
        <v>71</v>
      </c>
      <c r="F138" s="14" t="s">
        <v>207</v>
      </c>
      <c r="G138" s="175">
        <v>0</v>
      </c>
      <c r="H138" s="180">
        <v>5</v>
      </c>
      <c r="I138" s="180">
        <f>H138</f>
        <v>5</v>
      </c>
      <c r="J138" s="175">
        <v>0</v>
      </c>
      <c r="K138" s="175">
        <v>0</v>
      </c>
      <c r="L138" s="175">
        <v>0</v>
      </c>
    </row>
    <row r="139" spans="1:12" ht="114.75" x14ac:dyDescent="0.25">
      <c r="A139" s="10"/>
      <c r="B139" s="12"/>
      <c r="C139" s="13" t="s">
        <v>543</v>
      </c>
      <c r="D139" s="12" t="s">
        <v>542</v>
      </c>
      <c r="E139" s="129"/>
      <c r="F139" s="14" t="s">
        <v>208</v>
      </c>
      <c r="G139" s="173">
        <f>G140</f>
        <v>0</v>
      </c>
      <c r="H139" s="173">
        <f t="shared" ref="H139:L139" si="52">H140</f>
        <v>0.96</v>
      </c>
      <c r="I139" s="173">
        <f t="shared" si="52"/>
        <v>0.96</v>
      </c>
      <c r="J139" s="173">
        <f t="shared" si="52"/>
        <v>0</v>
      </c>
      <c r="K139" s="173">
        <f t="shared" si="52"/>
        <v>0</v>
      </c>
      <c r="L139" s="173">
        <f t="shared" si="52"/>
        <v>0</v>
      </c>
    </row>
    <row r="140" spans="1:12" s="17" customFormat="1" ht="120" x14ac:dyDescent="0.25">
      <c r="A140" s="16"/>
      <c r="B140" s="11"/>
      <c r="C140" s="10" t="s">
        <v>545</v>
      </c>
      <c r="D140" s="11" t="s">
        <v>542</v>
      </c>
      <c r="E140" s="128" t="s">
        <v>334</v>
      </c>
      <c r="F140" s="14" t="s">
        <v>210</v>
      </c>
      <c r="G140" s="175">
        <v>0</v>
      </c>
      <c r="H140" s="180">
        <v>0.96</v>
      </c>
      <c r="I140" s="180">
        <v>0.96</v>
      </c>
      <c r="J140" s="175">
        <v>0</v>
      </c>
      <c r="K140" s="175">
        <v>0</v>
      </c>
      <c r="L140" s="175">
        <v>0</v>
      </c>
    </row>
    <row r="141" spans="1:12" ht="29.25" x14ac:dyDescent="0.25">
      <c r="A141" s="10"/>
      <c r="B141" s="12" t="s">
        <v>238</v>
      </c>
      <c r="C141" s="13" t="s">
        <v>239</v>
      </c>
      <c r="D141" s="12" t="s">
        <v>238</v>
      </c>
      <c r="E141" s="129"/>
      <c r="F141" s="14" t="s">
        <v>211</v>
      </c>
      <c r="G141" s="173">
        <f>G142+G147</f>
        <v>0</v>
      </c>
      <c r="H141" s="179">
        <f>H142+H147</f>
        <v>-127.39851000000002</v>
      </c>
      <c r="I141" s="179">
        <f t="shared" ref="I141:L141" si="53">I142+I147</f>
        <v>-128.30531000000002</v>
      </c>
      <c r="J141" s="173">
        <f t="shared" si="53"/>
        <v>0</v>
      </c>
      <c r="K141" s="173">
        <f t="shared" si="53"/>
        <v>0</v>
      </c>
      <c r="L141" s="173">
        <f t="shared" si="53"/>
        <v>0</v>
      </c>
    </row>
    <row r="142" spans="1:12" ht="15.75" x14ac:dyDescent="0.25">
      <c r="A142" s="16"/>
      <c r="B142" s="15" t="s">
        <v>240</v>
      </c>
      <c r="C142" s="16" t="s">
        <v>242</v>
      </c>
      <c r="D142" s="15" t="s">
        <v>240</v>
      </c>
      <c r="E142" s="132"/>
      <c r="F142" s="14" t="s">
        <v>212</v>
      </c>
      <c r="G142" s="174">
        <f>G143+G144+G145</f>
        <v>0</v>
      </c>
      <c r="H142" s="174">
        <f>H143+H144+H145+H146</f>
        <v>-128.30531000000002</v>
      </c>
      <c r="I142" s="174">
        <f t="shared" ref="I142:L142" si="54">I143+I144+I145+I146</f>
        <v>-128.30531000000002</v>
      </c>
      <c r="J142" s="174">
        <f t="shared" si="54"/>
        <v>0</v>
      </c>
      <c r="K142" s="174">
        <f t="shared" si="54"/>
        <v>0</v>
      </c>
      <c r="L142" s="174">
        <f t="shared" si="54"/>
        <v>0</v>
      </c>
    </row>
    <row r="143" spans="1:12" s="29" customFormat="1" ht="90" x14ac:dyDescent="0.25">
      <c r="A143" s="10"/>
      <c r="B143" s="11"/>
      <c r="C143" s="10" t="s">
        <v>546</v>
      </c>
      <c r="D143" s="11" t="s">
        <v>241</v>
      </c>
      <c r="E143" s="19" t="s">
        <v>317</v>
      </c>
      <c r="F143" s="14" t="s">
        <v>213</v>
      </c>
      <c r="G143" s="175">
        <v>0</v>
      </c>
      <c r="H143" s="180">
        <v>-6.75</v>
      </c>
      <c r="I143" s="180">
        <f>H143</f>
        <v>-6.75</v>
      </c>
      <c r="J143" s="175">
        <v>0</v>
      </c>
      <c r="K143" s="175">
        <v>0</v>
      </c>
      <c r="L143" s="175">
        <v>0</v>
      </c>
    </row>
    <row r="144" spans="1:12" s="29" customFormat="1" ht="75" x14ac:dyDescent="0.25">
      <c r="A144" s="10"/>
      <c r="B144" s="11"/>
      <c r="C144" s="10" t="s">
        <v>821</v>
      </c>
      <c r="D144" s="11" t="s">
        <v>241</v>
      </c>
      <c r="E144" s="19" t="s">
        <v>318</v>
      </c>
      <c r="F144" s="14"/>
      <c r="G144" s="175">
        <v>0</v>
      </c>
      <c r="H144" s="180">
        <v>0.19091</v>
      </c>
      <c r="I144" s="180">
        <f>H144</f>
        <v>0.19091</v>
      </c>
      <c r="J144" s="175">
        <v>0</v>
      </c>
      <c r="K144" s="175">
        <v>0</v>
      </c>
      <c r="L144" s="175">
        <v>0</v>
      </c>
    </row>
    <row r="145" spans="1:18" s="29" customFormat="1" ht="90" x14ac:dyDescent="0.25">
      <c r="A145" s="10"/>
      <c r="B145" s="11"/>
      <c r="C145" s="10" t="s">
        <v>822</v>
      </c>
      <c r="D145" s="11" t="s">
        <v>241</v>
      </c>
      <c r="E145" s="19" t="s">
        <v>380</v>
      </c>
      <c r="F145" s="14"/>
      <c r="G145" s="175">
        <v>0</v>
      </c>
      <c r="H145" s="180">
        <v>-124.639</v>
      </c>
      <c r="I145" s="180">
        <f>H145</f>
        <v>-124.639</v>
      </c>
      <c r="J145" s="175">
        <v>0</v>
      </c>
      <c r="K145" s="175">
        <v>0</v>
      </c>
      <c r="L145" s="175">
        <v>0</v>
      </c>
    </row>
    <row r="146" spans="1:18" s="29" customFormat="1" ht="75" x14ac:dyDescent="0.25">
      <c r="A146" s="10"/>
      <c r="B146" s="11"/>
      <c r="C146" s="10" t="s">
        <v>368</v>
      </c>
      <c r="D146" s="11" t="s">
        <v>241</v>
      </c>
      <c r="E146" s="19" t="s">
        <v>314</v>
      </c>
      <c r="F146" s="14"/>
      <c r="G146" s="175">
        <v>0</v>
      </c>
      <c r="H146" s="180">
        <v>2.8927800000000001</v>
      </c>
      <c r="I146" s="180">
        <f>H146</f>
        <v>2.8927800000000001</v>
      </c>
      <c r="J146" s="175">
        <v>0</v>
      </c>
      <c r="K146" s="175">
        <v>0</v>
      </c>
      <c r="L146" s="175">
        <v>0</v>
      </c>
    </row>
    <row r="147" spans="1:18" s="8" customFormat="1" ht="15.75" x14ac:dyDescent="0.25">
      <c r="A147" s="10"/>
      <c r="B147" s="15" t="s">
        <v>240</v>
      </c>
      <c r="C147" s="16" t="s">
        <v>547</v>
      </c>
      <c r="D147" s="15" t="s">
        <v>548</v>
      </c>
      <c r="E147" s="132"/>
      <c r="F147" s="14" t="s">
        <v>214</v>
      </c>
      <c r="G147" s="174">
        <f>G148+G149</f>
        <v>0</v>
      </c>
      <c r="H147" s="174">
        <f t="shared" ref="H147:L147" si="55">H148+H149</f>
        <v>0.90679999999999994</v>
      </c>
      <c r="I147" s="174">
        <f t="shared" si="55"/>
        <v>0</v>
      </c>
      <c r="J147" s="174">
        <f t="shared" si="55"/>
        <v>0</v>
      </c>
      <c r="K147" s="174">
        <f t="shared" si="55"/>
        <v>0</v>
      </c>
      <c r="L147" s="174">
        <f t="shared" si="55"/>
        <v>0</v>
      </c>
    </row>
    <row r="148" spans="1:18" s="8" customFormat="1" ht="75" x14ac:dyDescent="0.25">
      <c r="A148" s="123"/>
      <c r="B148" s="11"/>
      <c r="C148" s="10" t="s">
        <v>550</v>
      </c>
      <c r="D148" s="11" t="s">
        <v>370</v>
      </c>
      <c r="E148" s="19" t="s">
        <v>318</v>
      </c>
      <c r="F148" s="14" t="s">
        <v>215</v>
      </c>
      <c r="G148" s="175">
        <v>0</v>
      </c>
      <c r="H148" s="180">
        <v>0.80679999999999996</v>
      </c>
      <c r="I148" s="180">
        <v>0</v>
      </c>
      <c r="J148" s="175">
        <v>0</v>
      </c>
      <c r="K148" s="175">
        <v>0</v>
      </c>
      <c r="L148" s="175">
        <v>0</v>
      </c>
      <c r="M148" s="8">
        <v>146942709.33999997</v>
      </c>
      <c r="N148" s="8">
        <v>37853461.719999999</v>
      </c>
    </row>
    <row r="149" spans="1:18" s="8" customFormat="1" ht="90" x14ac:dyDescent="0.25">
      <c r="A149" s="123"/>
      <c r="B149" s="11"/>
      <c r="C149" s="10" t="s">
        <v>823</v>
      </c>
      <c r="D149" s="11" t="s">
        <v>370</v>
      </c>
      <c r="E149" s="19" t="s">
        <v>380</v>
      </c>
      <c r="F149" s="14"/>
      <c r="G149" s="175">
        <v>0</v>
      </c>
      <c r="H149" s="180">
        <v>0.1</v>
      </c>
      <c r="I149" s="180">
        <v>0</v>
      </c>
      <c r="J149" s="175">
        <v>0</v>
      </c>
      <c r="K149" s="175">
        <v>0</v>
      </c>
      <c r="L149" s="175">
        <v>0</v>
      </c>
    </row>
    <row r="150" spans="1:18" ht="29.25" x14ac:dyDescent="0.25">
      <c r="A150" s="119"/>
      <c r="B150" s="124" t="s">
        <v>169</v>
      </c>
      <c r="C150" s="125" t="s">
        <v>170</v>
      </c>
      <c r="D150" s="124" t="s">
        <v>169</v>
      </c>
      <c r="E150" s="126"/>
      <c r="F150" s="153" t="s">
        <v>217</v>
      </c>
      <c r="G150" s="182">
        <f t="shared" ref="G150:L150" si="56">G151+G276+G272+G269</f>
        <v>677929.78580000007</v>
      </c>
      <c r="H150" s="182">
        <f t="shared" si="56"/>
        <v>531606.75404999999</v>
      </c>
      <c r="I150" s="182">
        <f t="shared" si="56"/>
        <v>677992.99580000003</v>
      </c>
      <c r="J150" s="182">
        <f t="shared" si="56"/>
        <v>750722.39999999991</v>
      </c>
      <c r="K150" s="182">
        <f t="shared" si="56"/>
        <v>678227.39999999991</v>
      </c>
      <c r="L150" s="182">
        <f t="shared" si="56"/>
        <v>681792.2</v>
      </c>
      <c r="M150">
        <v>677929.78579999995</v>
      </c>
      <c r="N150">
        <v>531606.75404999999</v>
      </c>
    </row>
    <row r="151" spans="1:18" s="8" customFormat="1" ht="57.75" x14ac:dyDescent="0.25">
      <c r="A151" s="25"/>
      <c r="B151" s="155" t="s">
        <v>171</v>
      </c>
      <c r="C151" s="154" t="s">
        <v>172</v>
      </c>
      <c r="D151" s="155" t="s">
        <v>173</v>
      </c>
      <c r="E151" s="156"/>
      <c r="F151" s="157" t="s">
        <v>218</v>
      </c>
      <c r="G151" s="183">
        <f t="shared" ref="G151:L151" si="57">G152+G156+G196+G251</f>
        <v>678004.27944000007</v>
      </c>
      <c r="H151" s="183">
        <f t="shared" si="57"/>
        <v>531558.03769000003</v>
      </c>
      <c r="I151" s="183">
        <f t="shared" si="57"/>
        <v>677944.27944000007</v>
      </c>
      <c r="J151" s="183">
        <f t="shared" si="57"/>
        <v>750722.39999999991</v>
      </c>
      <c r="K151" s="183">
        <f t="shared" si="57"/>
        <v>678227.39999999991</v>
      </c>
      <c r="L151" s="183">
        <f t="shared" si="57"/>
        <v>681792.2</v>
      </c>
      <c r="M151" s="203">
        <f>G150-M150</f>
        <v>0</v>
      </c>
      <c r="N151" s="203">
        <f>H150-N150</f>
        <v>0</v>
      </c>
    </row>
    <row r="152" spans="1:18" s="43" customFormat="1" ht="72" x14ac:dyDescent="0.25">
      <c r="A152" s="158"/>
      <c r="B152" s="120" t="s">
        <v>174</v>
      </c>
      <c r="C152" s="119" t="s">
        <v>260</v>
      </c>
      <c r="D152" s="120" t="s">
        <v>174</v>
      </c>
      <c r="E152" s="121"/>
      <c r="F152" s="122" t="s">
        <v>219</v>
      </c>
      <c r="G152" s="176">
        <f>G153+G154+G155</f>
        <v>254225.2</v>
      </c>
      <c r="H152" s="176">
        <f t="shared" ref="H152:L152" si="58">H153+H154+H155</f>
        <v>209623.11799999999</v>
      </c>
      <c r="I152" s="176">
        <f t="shared" si="58"/>
        <v>254225.2</v>
      </c>
      <c r="J152" s="176">
        <f t="shared" si="58"/>
        <v>367975.3</v>
      </c>
      <c r="K152" s="176">
        <f t="shared" si="58"/>
        <v>296776.89999999997</v>
      </c>
      <c r="L152" s="176">
        <f t="shared" si="58"/>
        <v>303295</v>
      </c>
    </row>
    <row r="153" spans="1:18" s="43" customFormat="1" ht="60.75" customHeight="1" x14ac:dyDescent="0.25">
      <c r="A153" s="41"/>
      <c r="B153" s="11"/>
      <c r="C153" s="11" t="s">
        <v>261</v>
      </c>
      <c r="D153" s="11" t="s">
        <v>175</v>
      </c>
      <c r="E153" s="19" t="s">
        <v>371</v>
      </c>
      <c r="F153" s="14" t="s">
        <v>220</v>
      </c>
      <c r="G153" s="172">
        <v>254225.2</v>
      </c>
      <c r="H153" s="172">
        <v>209623.11799999999</v>
      </c>
      <c r="I153" s="172">
        <v>254225.2</v>
      </c>
      <c r="J153" s="172">
        <v>0</v>
      </c>
      <c r="K153" s="175">
        <v>0</v>
      </c>
      <c r="L153" s="175">
        <v>0</v>
      </c>
    </row>
    <row r="154" spans="1:18" s="43" customFormat="1" ht="60.75" customHeight="1" x14ac:dyDescent="0.25">
      <c r="A154" s="41"/>
      <c r="B154" s="11"/>
      <c r="C154" s="11" t="s">
        <v>721</v>
      </c>
      <c r="D154" s="11" t="s">
        <v>724</v>
      </c>
      <c r="E154" s="19" t="s">
        <v>726</v>
      </c>
      <c r="F154" s="14"/>
      <c r="G154" s="172">
        <v>0</v>
      </c>
      <c r="H154" s="172">
        <v>0</v>
      </c>
      <c r="I154" s="172">
        <v>0</v>
      </c>
      <c r="J154" s="172">
        <v>314526.59999999998</v>
      </c>
      <c r="K154" s="175">
        <v>248842.3</v>
      </c>
      <c r="L154" s="175">
        <v>246684.7</v>
      </c>
    </row>
    <row r="155" spans="1:18" s="43" customFormat="1" ht="57" customHeight="1" x14ac:dyDescent="0.25">
      <c r="A155" s="41"/>
      <c r="B155" s="11"/>
      <c r="C155" s="11" t="s">
        <v>722</v>
      </c>
      <c r="D155" s="11" t="s">
        <v>723</v>
      </c>
      <c r="E155" s="19" t="s">
        <v>726</v>
      </c>
      <c r="F155" s="14"/>
      <c r="G155" s="172">
        <v>0</v>
      </c>
      <c r="H155" s="172">
        <v>0</v>
      </c>
      <c r="I155" s="172">
        <v>0</v>
      </c>
      <c r="J155" s="172">
        <v>53448.7</v>
      </c>
      <c r="K155" s="175">
        <v>47934.6</v>
      </c>
      <c r="L155" s="175">
        <v>56610.3</v>
      </c>
    </row>
    <row r="156" spans="1:18" s="43" customFormat="1" ht="43.5" x14ac:dyDescent="0.25">
      <c r="A156" s="41"/>
      <c r="B156" s="120" t="s">
        <v>224</v>
      </c>
      <c r="C156" s="120" t="s">
        <v>262</v>
      </c>
      <c r="D156" s="120" t="s">
        <v>224</v>
      </c>
      <c r="E156" s="121"/>
      <c r="F156" s="122" t="s">
        <v>221</v>
      </c>
      <c r="G156" s="176">
        <f>G157+G159+G161+G162+G169+G166+G167+G168+G170+G174+G164+G158+G160+G163+G165+G171+G172</f>
        <v>76758.104820000008</v>
      </c>
      <c r="H156" s="176">
        <f t="shared" ref="H156:L156" si="59">H157+H159+H161+H162+H169+H166+H167+H168+H170+H174+H164+H158+H160+H163+H165+H171+H172</f>
        <v>41338.66347</v>
      </c>
      <c r="I156" s="176">
        <f t="shared" si="59"/>
        <v>76698.104820000008</v>
      </c>
      <c r="J156" s="176">
        <f t="shared" si="59"/>
        <v>54706.399999999987</v>
      </c>
      <c r="K156" s="176">
        <f t="shared" si="59"/>
        <v>52670.799999999988</v>
      </c>
      <c r="L156" s="176">
        <f t="shared" si="59"/>
        <v>49183.7</v>
      </c>
      <c r="P156" s="43">
        <v>54706.399999999994</v>
      </c>
      <c r="Q156" s="43">
        <v>52670.8</v>
      </c>
      <c r="R156" s="43">
        <v>49183.700000000004</v>
      </c>
    </row>
    <row r="157" spans="1:18" s="43" customFormat="1" ht="75.75" customHeight="1" x14ac:dyDescent="0.25">
      <c r="A157" s="41"/>
      <c r="B157" s="35"/>
      <c r="C157" s="35" t="s">
        <v>374</v>
      </c>
      <c r="D157" s="35" t="s">
        <v>375</v>
      </c>
      <c r="E157" s="42" t="s">
        <v>317</v>
      </c>
      <c r="F157" s="14" t="s">
        <v>222</v>
      </c>
      <c r="G157" s="184">
        <v>1205.5536400000001</v>
      </c>
      <c r="H157" s="184">
        <v>1093.60439</v>
      </c>
      <c r="I157" s="184">
        <f>G157</f>
        <v>1205.5536400000001</v>
      </c>
      <c r="J157" s="184">
        <v>0</v>
      </c>
      <c r="K157" s="184">
        <v>0</v>
      </c>
      <c r="L157" s="184">
        <v>0</v>
      </c>
    </row>
    <row r="158" spans="1:18" s="43" customFormat="1" ht="75.75" customHeight="1" x14ac:dyDescent="0.25">
      <c r="A158" s="41"/>
      <c r="B158" s="35"/>
      <c r="C158" s="35" t="s">
        <v>725</v>
      </c>
      <c r="D158" s="35" t="s">
        <v>375</v>
      </c>
      <c r="E158" s="42" t="s">
        <v>729</v>
      </c>
      <c r="F158" s="14"/>
      <c r="G158" s="184">
        <v>0</v>
      </c>
      <c r="H158" s="184">
        <v>0</v>
      </c>
      <c r="I158" s="184">
        <v>0</v>
      </c>
      <c r="J158" s="184">
        <v>1118.7</v>
      </c>
      <c r="K158" s="184">
        <v>1118.7</v>
      </c>
      <c r="L158" s="184">
        <v>1113.4000000000001</v>
      </c>
    </row>
    <row r="159" spans="1:18" s="43" customFormat="1" ht="90" x14ac:dyDescent="0.25">
      <c r="A159" s="41"/>
      <c r="B159" s="35"/>
      <c r="C159" s="35" t="s">
        <v>376</v>
      </c>
      <c r="D159" s="35" t="s">
        <v>728</v>
      </c>
      <c r="E159" s="42" t="s">
        <v>317</v>
      </c>
      <c r="F159" s="14" t="s">
        <v>223</v>
      </c>
      <c r="G159" s="184">
        <v>335.50250999999997</v>
      </c>
      <c r="H159" s="184">
        <v>335.50250999999997</v>
      </c>
      <c r="I159" s="184">
        <f>H159</f>
        <v>335.50250999999997</v>
      </c>
      <c r="J159" s="184">
        <v>0</v>
      </c>
      <c r="K159" s="184">
        <v>0</v>
      </c>
      <c r="L159" s="184">
        <v>0</v>
      </c>
    </row>
    <row r="160" spans="1:18" s="43" customFormat="1" ht="90" x14ac:dyDescent="0.25">
      <c r="A160" s="41"/>
      <c r="B160" s="35"/>
      <c r="C160" s="35" t="s">
        <v>727</v>
      </c>
      <c r="D160" s="35" t="s">
        <v>728</v>
      </c>
      <c r="E160" s="42" t="s">
        <v>729</v>
      </c>
      <c r="F160" s="14"/>
      <c r="G160" s="184">
        <v>0</v>
      </c>
      <c r="H160" s="184">
        <v>0</v>
      </c>
      <c r="I160" s="184">
        <v>0</v>
      </c>
      <c r="J160" s="184">
        <v>64.7</v>
      </c>
      <c r="K160" s="184">
        <v>64.7</v>
      </c>
      <c r="L160" s="184">
        <v>0</v>
      </c>
    </row>
    <row r="161" spans="1:12" s="43" customFormat="1" ht="78.75" x14ac:dyDescent="0.25">
      <c r="A161" s="41"/>
      <c r="B161" s="35"/>
      <c r="C161" s="35" t="s">
        <v>730</v>
      </c>
      <c r="D161" s="147" t="s">
        <v>731</v>
      </c>
      <c r="E161" s="42" t="s">
        <v>732</v>
      </c>
      <c r="F161" s="14" t="s">
        <v>233</v>
      </c>
      <c r="G161" s="184">
        <v>0</v>
      </c>
      <c r="H161" s="184">
        <v>0</v>
      </c>
      <c r="I161" s="184">
        <v>0</v>
      </c>
      <c r="J161" s="184">
        <v>0</v>
      </c>
      <c r="K161" s="184">
        <v>1000</v>
      </c>
      <c r="L161" s="184">
        <v>0</v>
      </c>
    </row>
    <row r="162" spans="1:12" s="43" customFormat="1" ht="75" x14ac:dyDescent="0.25">
      <c r="A162" s="41"/>
      <c r="B162" s="35"/>
      <c r="C162" s="35" t="s">
        <v>377</v>
      </c>
      <c r="D162" s="35" t="s">
        <v>378</v>
      </c>
      <c r="E162" s="42" t="s">
        <v>318</v>
      </c>
      <c r="F162" s="14" t="s">
        <v>249</v>
      </c>
      <c r="G162" s="184">
        <v>7995.5072</v>
      </c>
      <c r="H162" s="184">
        <v>3303.6579499999998</v>
      </c>
      <c r="I162" s="184">
        <f>G162</f>
        <v>7995.5072</v>
      </c>
      <c r="J162" s="184">
        <v>0</v>
      </c>
      <c r="K162" s="184">
        <v>0</v>
      </c>
      <c r="L162" s="184">
        <v>0</v>
      </c>
    </row>
    <row r="163" spans="1:12" s="43" customFormat="1" ht="75" x14ac:dyDescent="0.25">
      <c r="A163" s="41"/>
      <c r="B163" s="35"/>
      <c r="C163" s="35" t="s">
        <v>733</v>
      </c>
      <c r="D163" s="35" t="s">
        <v>734</v>
      </c>
      <c r="E163" s="42" t="s">
        <v>732</v>
      </c>
      <c r="F163" s="14"/>
      <c r="G163" s="184">
        <v>0</v>
      </c>
      <c r="H163" s="184">
        <v>0</v>
      </c>
      <c r="I163" s="184">
        <v>0</v>
      </c>
      <c r="J163" s="184">
        <v>8332</v>
      </c>
      <c r="K163" s="184">
        <v>8332</v>
      </c>
      <c r="L163" s="184">
        <v>8655.9</v>
      </c>
    </row>
    <row r="164" spans="1:12" s="43" customFormat="1" ht="90" x14ac:dyDescent="0.25">
      <c r="A164" s="41"/>
      <c r="B164" s="35"/>
      <c r="C164" s="35" t="s">
        <v>379</v>
      </c>
      <c r="D164" s="35" t="s">
        <v>497</v>
      </c>
      <c r="E164" s="148" t="s">
        <v>380</v>
      </c>
      <c r="F164" s="14" t="s">
        <v>251</v>
      </c>
      <c r="G164" s="184">
        <v>1803.1</v>
      </c>
      <c r="H164" s="184">
        <v>0</v>
      </c>
      <c r="I164" s="184">
        <f>G164</f>
        <v>1803.1</v>
      </c>
      <c r="J164" s="184">
        <v>0</v>
      </c>
      <c r="K164" s="184">
        <v>0</v>
      </c>
      <c r="L164" s="184">
        <v>0</v>
      </c>
    </row>
    <row r="165" spans="1:12" s="43" customFormat="1" ht="90" x14ac:dyDescent="0.25">
      <c r="A165" s="41"/>
      <c r="B165" s="35"/>
      <c r="C165" s="35" t="s">
        <v>761</v>
      </c>
      <c r="D165" s="35" t="s">
        <v>497</v>
      </c>
      <c r="E165" s="148" t="s">
        <v>762</v>
      </c>
      <c r="F165" s="14"/>
      <c r="G165" s="184">
        <v>0</v>
      </c>
      <c r="H165" s="184">
        <v>0</v>
      </c>
      <c r="I165" s="184">
        <v>0</v>
      </c>
      <c r="J165" s="184">
        <v>10513</v>
      </c>
      <c r="K165" s="184">
        <v>0</v>
      </c>
      <c r="L165" s="184">
        <v>0</v>
      </c>
    </row>
    <row r="166" spans="1:12" s="43" customFormat="1" ht="90" x14ac:dyDescent="0.25">
      <c r="A166" s="41"/>
      <c r="B166" s="35"/>
      <c r="C166" s="35" t="s">
        <v>381</v>
      </c>
      <c r="D166" s="35" t="s">
        <v>382</v>
      </c>
      <c r="E166" s="148" t="s">
        <v>380</v>
      </c>
      <c r="F166" s="14" t="s">
        <v>252</v>
      </c>
      <c r="G166" s="184">
        <v>10300.299999999999</v>
      </c>
      <c r="H166" s="184">
        <v>0</v>
      </c>
      <c r="I166" s="184">
        <f>G166</f>
        <v>10300.299999999999</v>
      </c>
      <c r="J166" s="184">
        <v>0</v>
      </c>
      <c r="K166" s="184">
        <v>0</v>
      </c>
      <c r="L166" s="184">
        <v>0</v>
      </c>
    </row>
    <row r="167" spans="1:12" s="55" customFormat="1" ht="75" x14ac:dyDescent="0.25">
      <c r="A167" s="41"/>
      <c r="B167" s="35"/>
      <c r="C167" s="35" t="s">
        <v>753</v>
      </c>
      <c r="D167" s="35"/>
      <c r="E167" s="148" t="s">
        <v>408</v>
      </c>
      <c r="F167" s="14" t="s">
        <v>255</v>
      </c>
      <c r="G167" s="184">
        <v>7773.3</v>
      </c>
      <c r="H167" s="184">
        <v>4951.0265099999997</v>
      </c>
      <c r="I167" s="184">
        <f>G167</f>
        <v>7773.3</v>
      </c>
      <c r="J167" s="184">
        <v>0</v>
      </c>
      <c r="K167" s="184">
        <v>0</v>
      </c>
      <c r="L167" s="184">
        <v>0</v>
      </c>
    </row>
    <row r="168" spans="1:12" s="43" customFormat="1" ht="90" x14ac:dyDescent="0.25">
      <c r="A168" s="41"/>
      <c r="B168" s="35"/>
      <c r="C168" s="35" t="s">
        <v>383</v>
      </c>
      <c r="D168" s="35" t="s">
        <v>384</v>
      </c>
      <c r="E168" s="148" t="s">
        <v>380</v>
      </c>
      <c r="F168" s="14" t="s">
        <v>256</v>
      </c>
      <c r="G168" s="184">
        <v>1683.5018</v>
      </c>
      <c r="H168" s="184">
        <v>1683.5018</v>
      </c>
      <c r="I168" s="184">
        <f t="shared" ref="I168:I170" si="60">G168</f>
        <v>1683.5018</v>
      </c>
      <c r="J168" s="184">
        <v>0</v>
      </c>
      <c r="K168" s="184">
        <v>0</v>
      </c>
      <c r="L168" s="184">
        <v>0</v>
      </c>
    </row>
    <row r="169" spans="1:12" s="43" customFormat="1" ht="90" x14ac:dyDescent="0.25">
      <c r="A169" s="41"/>
      <c r="B169" s="35"/>
      <c r="C169" s="35" t="s">
        <v>763</v>
      </c>
      <c r="D169" s="35" t="s">
        <v>764</v>
      </c>
      <c r="E169" s="148" t="s">
        <v>762</v>
      </c>
      <c r="F169" s="14"/>
      <c r="G169" s="184">
        <v>0</v>
      </c>
      <c r="H169" s="184">
        <v>0</v>
      </c>
      <c r="I169" s="184">
        <v>0</v>
      </c>
      <c r="J169" s="184">
        <v>2003</v>
      </c>
      <c r="K169" s="184">
        <v>2007.6</v>
      </c>
      <c r="L169" s="184">
        <v>1966</v>
      </c>
    </row>
    <row r="170" spans="1:12" s="43" customFormat="1" ht="90" x14ac:dyDescent="0.25">
      <c r="A170" s="41"/>
      <c r="B170" s="35"/>
      <c r="C170" s="35" t="s">
        <v>385</v>
      </c>
      <c r="D170" s="35" t="s">
        <v>386</v>
      </c>
      <c r="E170" s="42" t="s">
        <v>380</v>
      </c>
      <c r="F170" s="14" t="s">
        <v>285</v>
      </c>
      <c r="G170" s="184">
        <v>4856.4583300000004</v>
      </c>
      <c r="H170" s="184">
        <v>2533.69434</v>
      </c>
      <c r="I170" s="184">
        <f t="shared" si="60"/>
        <v>4856.4583300000004</v>
      </c>
      <c r="J170" s="184">
        <v>0</v>
      </c>
      <c r="K170" s="184">
        <v>0</v>
      </c>
      <c r="L170" s="184">
        <v>0</v>
      </c>
    </row>
    <row r="171" spans="1:12" s="43" customFormat="1" ht="90" x14ac:dyDescent="0.25">
      <c r="A171" s="41"/>
      <c r="B171" s="35"/>
      <c r="C171" s="35" t="s">
        <v>765</v>
      </c>
      <c r="D171" s="35" t="s">
        <v>766</v>
      </c>
      <c r="E171" s="42" t="s">
        <v>762</v>
      </c>
      <c r="F171" s="14"/>
      <c r="G171" s="184">
        <v>0</v>
      </c>
      <c r="H171" s="184">
        <v>0</v>
      </c>
      <c r="I171" s="184">
        <v>0</v>
      </c>
      <c r="J171" s="184">
        <v>189.1</v>
      </c>
      <c r="K171" s="184">
        <v>210.8</v>
      </c>
      <c r="L171" s="184">
        <v>210.3</v>
      </c>
    </row>
    <row r="172" spans="1:12" s="43" customFormat="1" ht="105" x14ac:dyDescent="0.25">
      <c r="A172" s="41"/>
      <c r="B172" s="35"/>
      <c r="C172" s="35" t="s">
        <v>803</v>
      </c>
      <c r="D172" s="35" t="s">
        <v>804</v>
      </c>
      <c r="E172" s="42" t="s">
        <v>313</v>
      </c>
      <c r="F172" s="14"/>
      <c r="G172" s="184">
        <v>3289.09211</v>
      </c>
      <c r="H172" s="184">
        <v>3289.09211</v>
      </c>
      <c r="I172" s="184">
        <f>G172</f>
        <v>3289.09211</v>
      </c>
      <c r="J172" s="184">
        <v>0</v>
      </c>
      <c r="K172" s="184">
        <v>0</v>
      </c>
      <c r="L172" s="184">
        <v>0</v>
      </c>
    </row>
    <row r="173" spans="1:12" s="43" customFormat="1" ht="15.75" x14ac:dyDescent="0.25">
      <c r="A173" s="41"/>
      <c r="B173" s="35"/>
      <c r="C173" s="35"/>
      <c r="D173" s="35"/>
      <c r="E173" s="42"/>
      <c r="F173" s="14"/>
      <c r="G173" s="184"/>
      <c r="H173" s="184"/>
      <c r="I173" s="184"/>
      <c r="J173" s="184"/>
      <c r="K173" s="184"/>
      <c r="L173" s="184"/>
    </row>
    <row r="174" spans="1:12" s="43" customFormat="1" ht="15.75" x14ac:dyDescent="0.25">
      <c r="A174" s="41"/>
      <c r="B174" s="53" t="s">
        <v>492</v>
      </c>
      <c r="C174" s="53" t="s">
        <v>491</v>
      </c>
      <c r="D174" s="53" t="s">
        <v>492</v>
      </c>
      <c r="E174" s="54"/>
      <c r="F174" s="14" t="s">
        <v>286</v>
      </c>
      <c r="G174" s="185">
        <f t="shared" ref="G174:L174" si="61">SUM(G175:G195)</f>
        <v>37515.789230000009</v>
      </c>
      <c r="H174" s="185">
        <f t="shared" si="61"/>
        <v>24148.583859999999</v>
      </c>
      <c r="I174" s="185">
        <f t="shared" si="61"/>
        <v>37455.789230000009</v>
      </c>
      <c r="J174" s="185">
        <f t="shared" si="61"/>
        <v>32485.899999999998</v>
      </c>
      <c r="K174" s="185">
        <f t="shared" si="61"/>
        <v>39936.999999999993</v>
      </c>
      <c r="L174" s="185">
        <f t="shared" si="61"/>
        <v>37238.099999999991</v>
      </c>
    </row>
    <row r="175" spans="1:12" s="43" customFormat="1" ht="75" x14ac:dyDescent="0.25">
      <c r="A175" s="41"/>
      <c r="B175" s="35"/>
      <c r="C175" s="35" t="s">
        <v>568</v>
      </c>
      <c r="D175" s="37" t="s">
        <v>569</v>
      </c>
      <c r="E175" s="148" t="s">
        <v>318</v>
      </c>
      <c r="F175" s="14" t="s">
        <v>288</v>
      </c>
      <c r="G175" s="186">
        <v>2151.1</v>
      </c>
      <c r="H175" s="184">
        <v>1800</v>
      </c>
      <c r="I175" s="184">
        <f>G175</f>
        <v>2151.1</v>
      </c>
      <c r="J175" s="184">
        <v>0</v>
      </c>
      <c r="K175" s="184">
        <v>0</v>
      </c>
      <c r="L175" s="184">
        <v>0</v>
      </c>
    </row>
    <row r="176" spans="1:12" s="43" customFormat="1" ht="75" x14ac:dyDescent="0.25">
      <c r="A176" s="41"/>
      <c r="B176" s="35"/>
      <c r="C176" s="35" t="s">
        <v>735</v>
      </c>
      <c r="D176" s="37" t="s">
        <v>569</v>
      </c>
      <c r="E176" s="148" t="s">
        <v>732</v>
      </c>
      <c r="F176" s="14"/>
      <c r="G176" s="186">
        <v>0</v>
      </c>
      <c r="H176" s="184">
        <v>0</v>
      </c>
      <c r="I176" s="184">
        <v>0</v>
      </c>
      <c r="J176" s="184">
        <v>2499.5</v>
      </c>
      <c r="K176" s="184">
        <v>2499.5</v>
      </c>
      <c r="L176" s="184">
        <v>2596.6</v>
      </c>
    </row>
    <row r="177" spans="1:15" s="43" customFormat="1" ht="75" x14ac:dyDescent="0.25">
      <c r="A177" s="41"/>
      <c r="B177" s="35"/>
      <c r="C177" s="35" t="s">
        <v>735</v>
      </c>
      <c r="D177" s="37" t="s">
        <v>736</v>
      </c>
      <c r="E177" s="148" t="s">
        <v>732</v>
      </c>
      <c r="F177" s="14"/>
      <c r="G177" s="186">
        <v>0</v>
      </c>
      <c r="H177" s="184">
        <v>0</v>
      </c>
      <c r="I177" s="184">
        <v>0</v>
      </c>
      <c r="J177" s="184">
        <v>4684</v>
      </c>
      <c r="K177" s="184">
        <v>4684</v>
      </c>
      <c r="L177" s="184">
        <v>4684</v>
      </c>
    </row>
    <row r="178" spans="1:15" s="43" customFormat="1" ht="75" x14ac:dyDescent="0.25">
      <c r="A178" s="41"/>
      <c r="B178" s="35"/>
      <c r="C178" s="35" t="s">
        <v>388</v>
      </c>
      <c r="D178" s="37" t="s">
        <v>768</v>
      </c>
      <c r="E178" s="148" t="s">
        <v>318</v>
      </c>
      <c r="F178" s="14" t="s">
        <v>289</v>
      </c>
      <c r="G178" s="186">
        <v>2787.4</v>
      </c>
      <c r="H178" s="184">
        <v>1815.2700500000001</v>
      </c>
      <c r="I178" s="184">
        <f>G178</f>
        <v>2787.4</v>
      </c>
      <c r="J178" s="184">
        <v>0</v>
      </c>
      <c r="K178" s="184">
        <v>0</v>
      </c>
      <c r="L178" s="184">
        <v>0</v>
      </c>
    </row>
    <row r="179" spans="1:15" s="43" customFormat="1" ht="75" x14ac:dyDescent="0.25">
      <c r="A179" s="41"/>
      <c r="B179" s="35"/>
      <c r="C179" s="35" t="s">
        <v>767</v>
      </c>
      <c r="D179" s="37" t="s">
        <v>768</v>
      </c>
      <c r="E179" s="148" t="s">
        <v>732</v>
      </c>
      <c r="F179" s="14"/>
      <c r="G179" s="186">
        <v>0</v>
      </c>
      <c r="H179" s="184">
        <v>0</v>
      </c>
      <c r="I179" s="184">
        <v>0</v>
      </c>
      <c r="J179" s="184">
        <v>2773.9</v>
      </c>
      <c r="K179" s="184">
        <v>2773.9</v>
      </c>
      <c r="L179" s="184">
        <v>2773.9</v>
      </c>
    </row>
    <row r="180" spans="1:15" s="43" customFormat="1" ht="90" x14ac:dyDescent="0.25">
      <c r="A180" s="41"/>
      <c r="B180" s="35"/>
      <c r="C180" s="35" t="s">
        <v>388</v>
      </c>
      <c r="D180" s="35" t="s">
        <v>390</v>
      </c>
      <c r="E180" s="148" t="s">
        <v>380</v>
      </c>
      <c r="F180" s="14" t="s">
        <v>291</v>
      </c>
      <c r="G180" s="186">
        <v>11365.4</v>
      </c>
      <c r="H180" s="184">
        <v>7340.8813799999998</v>
      </c>
      <c r="I180" s="184">
        <f>G180</f>
        <v>11365.4</v>
      </c>
      <c r="J180" s="184">
        <v>0</v>
      </c>
      <c r="K180" s="184">
        <v>0</v>
      </c>
      <c r="L180" s="184">
        <v>0</v>
      </c>
    </row>
    <row r="181" spans="1:15" s="43" customFormat="1" ht="90" x14ac:dyDescent="0.25">
      <c r="A181" s="41"/>
      <c r="B181" s="35"/>
      <c r="C181" s="35" t="s">
        <v>767</v>
      </c>
      <c r="D181" s="35" t="s">
        <v>390</v>
      </c>
      <c r="E181" s="148" t="s">
        <v>762</v>
      </c>
      <c r="F181" s="14"/>
      <c r="G181" s="186">
        <v>0</v>
      </c>
      <c r="H181" s="184">
        <v>0</v>
      </c>
      <c r="I181" s="184">
        <v>0</v>
      </c>
      <c r="J181" s="184">
        <v>9078.1</v>
      </c>
      <c r="K181" s="184">
        <v>12607.3</v>
      </c>
      <c r="L181" s="184">
        <v>12607.3</v>
      </c>
    </row>
    <row r="182" spans="1:15" s="43" customFormat="1" ht="90" x14ac:dyDescent="0.25">
      <c r="A182" s="41"/>
      <c r="B182" s="35"/>
      <c r="C182" s="35" t="s">
        <v>767</v>
      </c>
      <c r="D182" s="35" t="s">
        <v>772</v>
      </c>
      <c r="E182" s="148" t="s">
        <v>762</v>
      </c>
      <c r="F182" s="14" t="s">
        <v>292</v>
      </c>
      <c r="G182" s="186">
        <v>0</v>
      </c>
      <c r="H182" s="184">
        <v>0</v>
      </c>
      <c r="I182" s="184">
        <v>0</v>
      </c>
      <c r="J182" s="184">
        <v>1560</v>
      </c>
      <c r="K182" s="184">
        <v>0</v>
      </c>
      <c r="L182" s="184">
        <v>0</v>
      </c>
    </row>
    <row r="183" spans="1:15" s="43" customFormat="1" ht="90" x14ac:dyDescent="0.25">
      <c r="A183" s="41"/>
      <c r="B183" s="35"/>
      <c r="C183" s="35" t="s">
        <v>388</v>
      </c>
      <c r="D183" s="35" t="s">
        <v>590</v>
      </c>
      <c r="E183" s="148" t="s">
        <v>380</v>
      </c>
      <c r="F183" s="14" t="s">
        <v>293</v>
      </c>
      <c r="G183" s="186">
        <v>741</v>
      </c>
      <c r="H183" s="184">
        <v>0</v>
      </c>
      <c r="I183" s="184">
        <f>G183</f>
        <v>741</v>
      </c>
      <c r="J183" s="184">
        <v>0</v>
      </c>
      <c r="K183" s="184">
        <v>0</v>
      </c>
      <c r="L183" s="184">
        <v>0</v>
      </c>
    </row>
    <row r="184" spans="1:15" s="43" customFormat="1" ht="90" x14ac:dyDescent="0.25">
      <c r="A184" s="41"/>
      <c r="B184" s="35"/>
      <c r="C184" s="35" t="s">
        <v>767</v>
      </c>
      <c r="D184" s="35" t="s">
        <v>590</v>
      </c>
      <c r="E184" s="148" t="s">
        <v>762</v>
      </c>
      <c r="F184" s="14"/>
      <c r="G184" s="186">
        <v>0</v>
      </c>
      <c r="H184" s="184">
        <v>0</v>
      </c>
      <c r="I184" s="184">
        <v>0</v>
      </c>
      <c r="J184" s="184">
        <v>1185.5999999999999</v>
      </c>
      <c r="K184" s="184">
        <v>6594.9</v>
      </c>
      <c r="L184" s="184">
        <v>6594.9</v>
      </c>
    </row>
    <row r="185" spans="1:15" s="43" customFormat="1" ht="90" x14ac:dyDescent="0.25">
      <c r="A185" s="41"/>
      <c r="B185" s="35"/>
      <c r="C185" s="35" t="s">
        <v>767</v>
      </c>
      <c r="D185" s="35" t="s">
        <v>773</v>
      </c>
      <c r="E185" s="148" t="s">
        <v>762</v>
      </c>
      <c r="F185" s="14"/>
      <c r="G185" s="186">
        <v>0</v>
      </c>
      <c r="H185" s="184">
        <v>0</v>
      </c>
      <c r="I185" s="184">
        <v>0</v>
      </c>
      <c r="J185" s="184">
        <v>298.3</v>
      </c>
      <c r="K185" s="184">
        <v>368.6</v>
      </c>
      <c r="L185" s="184">
        <v>368.6</v>
      </c>
    </row>
    <row r="186" spans="1:15" s="47" customFormat="1" ht="90" x14ac:dyDescent="0.25">
      <c r="A186" s="41"/>
      <c r="B186" s="35"/>
      <c r="C186" s="35" t="s">
        <v>388</v>
      </c>
      <c r="D186" s="35" t="s">
        <v>592</v>
      </c>
      <c r="E186" s="42" t="s">
        <v>380</v>
      </c>
      <c r="F186" s="14" t="s">
        <v>294</v>
      </c>
      <c r="G186" s="184">
        <v>1630.9</v>
      </c>
      <c r="H186" s="184">
        <v>0</v>
      </c>
      <c r="I186" s="184">
        <f>G186</f>
        <v>1630.9</v>
      </c>
      <c r="J186" s="184">
        <v>0</v>
      </c>
      <c r="K186" s="184">
        <v>0</v>
      </c>
      <c r="L186" s="184">
        <v>0</v>
      </c>
    </row>
    <row r="187" spans="1:15" s="47" customFormat="1" ht="90" x14ac:dyDescent="0.25">
      <c r="A187" s="41"/>
      <c r="B187" s="35"/>
      <c r="C187" s="35" t="s">
        <v>767</v>
      </c>
      <c r="D187" s="35" t="s">
        <v>592</v>
      </c>
      <c r="E187" s="42" t="s">
        <v>762</v>
      </c>
      <c r="F187" s="14"/>
      <c r="G187" s="184">
        <v>0</v>
      </c>
      <c r="H187" s="184">
        <v>0</v>
      </c>
      <c r="I187" s="184">
        <v>0</v>
      </c>
      <c r="J187" s="184">
        <v>1417.3</v>
      </c>
      <c r="K187" s="184">
        <v>1417.3</v>
      </c>
      <c r="L187" s="184">
        <v>1417.3</v>
      </c>
    </row>
    <row r="188" spans="1:15" s="55" customFormat="1" ht="90" x14ac:dyDescent="0.25">
      <c r="A188" s="41"/>
      <c r="B188" s="35"/>
      <c r="C188" s="35" t="s">
        <v>388</v>
      </c>
      <c r="D188" s="35" t="s">
        <v>794</v>
      </c>
      <c r="E188" s="42" t="s">
        <v>380</v>
      </c>
      <c r="F188" s="14" t="s">
        <v>295</v>
      </c>
      <c r="G188" s="184">
        <v>1228.25</v>
      </c>
      <c r="H188" s="184">
        <v>0</v>
      </c>
      <c r="I188" s="184">
        <f>G188</f>
        <v>1228.25</v>
      </c>
      <c r="J188" s="184">
        <v>0</v>
      </c>
      <c r="K188" s="184">
        <v>0</v>
      </c>
      <c r="L188" s="184">
        <v>0</v>
      </c>
    </row>
    <row r="189" spans="1:15" s="55" customFormat="1" ht="60" x14ac:dyDescent="0.25">
      <c r="A189" s="41"/>
      <c r="B189" s="35"/>
      <c r="C189" s="35" t="s">
        <v>771</v>
      </c>
      <c r="D189" s="35" t="s">
        <v>769</v>
      </c>
      <c r="E189" s="42" t="s">
        <v>770</v>
      </c>
      <c r="F189" s="14"/>
      <c r="G189" s="184">
        <v>0</v>
      </c>
      <c r="H189" s="184">
        <v>0</v>
      </c>
      <c r="I189" s="184">
        <v>0</v>
      </c>
      <c r="J189" s="184">
        <v>4148.3</v>
      </c>
      <c r="K189" s="184">
        <v>4148.3</v>
      </c>
      <c r="L189" s="184">
        <v>4148.3</v>
      </c>
    </row>
    <row r="190" spans="1:15" s="55" customFormat="1" ht="60" x14ac:dyDescent="0.25">
      <c r="A190" s="41"/>
      <c r="B190" s="35"/>
      <c r="C190" s="35" t="s">
        <v>391</v>
      </c>
      <c r="D190" s="35" t="s">
        <v>769</v>
      </c>
      <c r="E190" s="42" t="s">
        <v>313</v>
      </c>
      <c r="F190" s="14"/>
      <c r="G190" s="184">
        <v>4148.3</v>
      </c>
      <c r="H190" s="184">
        <v>2919.0896299999999</v>
      </c>
      <c r="I190" s="184">
        <f>G190</f>
        <v>4148.3</v>
      </c>
      <c r="J190" s="184">
        <v>0</v>
      </c>
      <c r="K190" s="184">
        <v>0</v>
      </c>
      <c r="L190" s="184">
        <v>0</v>
      </c>
    </row>
    <row r="191" spans="1:15" s="43" customFormat="1" ht="60" x14ac:dyDescent="0.25">
      <c r="A191" s="139"/>
      <c r="B191" s="35"/>
      <c r="C191" s="35" t="s">
        <v>391</v>
      </c>
      <c r="D191" s="35" t="s">
        <v>393</v>
      </c>
      <c r="E191" s="42" t="s">
        <v>313</v>
      </c>
      <c r="F191" s="14" t="s">
        <v>427</v>
      </c>
      <c r="G191" s="184">
        <v>1713.6803</v>
      </c>
      <c r="H191" s="184">
        <v>1377.24</v>
      </c>
      <c r="I191" s="184">
        <f>G191</f>
        <v>1713.6803</v>
      </c>
      <c r="J191" s="184">
        <v>0</v>
      </c>
      <c r="K191" s="184">
        <v>0</v>
      </c>
      <c r="L191" s="184">
        <v>0</v>
      </c>
      <c r="M191" s="43">
        <v>328647</v>
      </c>
      <c r="N191" s="43">
        <v>318371.90000000002</v>
      </c>
      <c r="O191" s="43">
        <v>318964.5</v>
      </c>
    </row>
    <row r="192" spans="1:15" s="43" customFormat="1" ht="60" x14ac:dyDescent="0.25">
      <c r="A192" s="139"/>
      <c r="B192" s="35"/>
      <c r="C192" s="35" t="s">
        <v>391</v>
      </c>
      <c r="D192" s="35" t="s">
        <v>570</v>
      </c>
      <c r="E192" s="42" t="s">
        <v>313</v>
      </c>
      <c r="F192" s="14"/>
      <c r="G192" s="184">
        <v>8956.1028000000006</v>
      </c>
      <c r="H192" s="184">
        <v>8896.1028000000006</v>
      </c>
      <c r="I192" s="184">
        <f>H192</f>
        <v>8896.1028000000006</v>
      </c>
      <c r="J192" s="184">
        <v>0</v>
      </c>
      <c r="K192" s="184">
        <v>0</v>
      </c>
      <c r="L192" s="184">
        <v>0</v>
      </c>
    </row>
    <row r="193" spans="1:15" s="43" customFormat="1" ht="60" x14ac:dyDescent="0.25">
      <c r="A193" s="139"/>
      <c r="B193" s="35"/>
      <c r="C193" s="35" t="s">
        <v>771</v>
      </c>
      <c r="D193" s="35" t="s">
        <v>393</v>
      </c>
      <c r="E193" s="42" t="s">
        <v>770</v>
      </c>
      <c r="F193" s="14"/>
      <c r="G193" s="184">
        <v>0</v>
      </c>
      <c r="H193" s="184">
        <v>0</v>
      </c>
      <c r="I193" s="184">
        <v>0</v>
      </c>
      <c r="J193" s="184">
        <v>2047.2</v>
      </c>
      <c r="K193" s="184">
        <v>2047.2</v>
      </c>
      <c r="L193" s="184">
        <v>2047.2</v>
      </c>
    </row>
    <row r="194" spans="1:15" s="43" customFormat="1" ht="60" x14ac:dyDescent="0.25">
      <c r="A194" s="139"/>
      <c r="B194" s="35"/>
      <c r="C194" s="35" t="s">
        <v>391</v>
      </c>
      <c r="D194" s="35" t="s">
        <v>774</v>
      </c>
      <c r="E194" s="42" t="s">
        <v>313</v>
      </c>
      <c r="F194" s="14"/>
      <c r="G194" s="184">
        <v>2793.6561299999998</v>
      </c>
      <c r="H194" s="184">
        <v>0</v>
      </c>
      <c r="I194" s="184">
        <f>G194</f>
        <v>2793.6561299999998</v>
      </c>
      <c r="J194" s="184">
        <v>0</v>
      </c>
      <c r="K194" s="184">
        <v>0</v>
      </c>
      <c r="L194" s="184">
        <v>0</v>
      </c>
    </row>
    <row r="195" spans="1:15" s="43" customFormat="1" ht="60" x14ac:dyDescent="0.25">
      <c r="A195" s="52"/>
      <c r="B195" s="35"/>
      <c r="C195" s="35" t="s">
        <v>771</v>
      </c>
      <c r="D195" s="35" t="s">
        <v>774</v>
      </c>
      <c r="E195" s="42" t="s">
        <v>770</v>
      </c>
      <c r="F195" s="14" t="s">
        <v>428</v>
      </c>
      <c r="G195" s="184">
        <v>0</v>
      </c>
      <c r="H195" s="184">
        <v>0</v>
      </c>
      <c r="I195" s="184">
        <v>0</v>
      </c>
      <c r="J195" s="184">
        <v>2793.7</v>
      </c>
      <c r="K195" s="184">
        <v>2796</v>
      </c>
      <c r="L195" s="184">
        <v>0</v>
      </c>
      <c r="M195" s="83">
        <f>J196-M191</f>
        <v>-671.10000000003492</v>
      </c>
      <c r="N195" s="83">
        <f>K196-N191</f>
        <v>10342.999999999942</v>
      </c>
      <c r="O195" s="83">
        <f>L196-O191</f>
        <v>10284.199999999953</v>
      </c>
    </row>
    <row r="196" spans="1:15" s="43" customFormat="1" ht="29.25" x14ac:dyDescent="0.25">
      <c r="A196" s="41"/>
      <c r="B196" s="136" t="s">
        <v>227</v>
      </c>
      <c r="C196" s="136" t="s">
        <v>264</v>
      </c>
      <c r="D196" s="136" t="s">
        <v>227</v>
      </c>
      <c r="E196" s="137"/>
      <c r="F196" s="122" t="s">
        <v>429</v>
      </c>
      <c r="G196" s="187">
        <f t="shared" ref="G196:L196" si="62">G197+G218+G221+G229+G234+G236+G239+G242+G245+G248+G232</f>
        <v>330751.9627400001</v>
      </c>
      <c r="H196" s="187">
        <f t="shared" si="62"/>
        <v>266037.27438000002</v>
      </c>
      <c r="I196" s="187">
        <f t="shared" si="62"/>
        <v>330751.9627400001</v>
      </c>
      <c r="J196" s="187">
        <f t="shared" si="62"/>
        <v>327975.89999999997</v>
      </c>
      <c r="K196" s="187">
        <f t="shared" si="62"/>
        <v>328714.89999999997</v>
      </c>
      <c r="L196" s="187">
        <f t="shared" si="62"/>
        <v>329248.69999999995</v>
      </c>
    </row>
    <row r="197" spans="1:15" s="43" customFormat="1" ht="45" x14ac:dyDescent="0.25">
      <c r="A197" s="41"/>
      <c r="B197" s="53"/>
      <c r="C197" s="53" t="s">
        <v>747</v>
      </c>
      <c r="D197" s="53" t="s">
        <v>748</v>
      </c>
      <c r="E197" s="54"/>
      <c r="F197" s="14" t="s">
        <v>430</v>
      </c>
      <c r="G197" s="185">
        <f t="shared" ref="G197:L197" si="63">SUM(G198:G217)</f>
        <v>284135.54200000002</v>
      </c>
      <c r="H197" s="185">
        <f t="shared" si="63"/>
        <v>243939.28619999997</v>
      </c>
      <c r="I197" s="185">
        <f t="shared" si="63"/>
        <v>284135.54200000002</v>
      </c>
      <c r="J197" s="185">
        <f t="shared" si="63"/>
        <v>275719.09999999998</v>
      </c>
      <c r="K197" s="185">
        <f t="shared" si="63"/>
        <v>276638.3</v>
      </c>
      <c r="L197" s="185">
        <f t="shared" si="63"/>
        <v>276001.8</v>
      </c>
    </row>
    <row r="198" spans="1:15" s="43" customFormat="1" ht="75" x14ac:dyDescent="0.25">
      <c r="A198" s="41"/>
      <c r="B198" s="35"/>
      <c r="C198" s="35" t="s">
        <v>265</v>
      </c>
      <c r="D198" s="35" t="s">
        <v>228</v>
      </c>
      <c r="E198" s="42" t="s">
        <v>371</v>
      </c>
      <c r="F198" s="14" t="s">
        <v>431</v>
      </c>
      <c r="G198" s="188">
        <v>52826.2</v>
      </c>
      <c r="H198" s="188">
        <v>52826.2</v>
      </c>
      <c r="I198" s="188">
        <f>H198</f>
        <v>52826.2</v>
      </c>
      <c r="J198" s="186">
        <v>0</v>
      </c>
      <c r="K198" s="186">
        <v>0</v>
      </c>
      <c r="L198" s="186">
        <v>0</v>
      </c>
    </row>
    <row r="199" spans="1:15" s="43" customFormat="1" ht="61.5" customHeight="1" x14ac:dyDescent="0.25">
      <c r="A199" s="41"/>
      <c r="B199" s="35"/>
      <c r="C199" s="35" t="s">
        <v>267</v>
      </c>
      <c r="D199" s="35" t="s">
        <v>398</v>
      </c>
      <c r="E199" s="42" t="s">
        <v>318</v>
      </c>
      <c r="F199" s="14" t="s">
        <v>442</v>
      </c>
      <c r="G199" s="188">
        <v>563.20000000000005</v>
      </c>
      <c r="H199" s="188">
        <v>563.20000000000005</v>
      </c>
      <c r="I199" s="188">
        <f>G199</f>
        <v>563.20000000000005</v>
      </c>
      <c r="J199" s="186">
        <v>0</v>
      </c>
      <c r="K199" s="186">
        <v>0</v>
      </c>
      <c r="L199" s="186">
        <v>0</v>
      </c>
    </row>
    <row r="200" spans="1:15" s="43" customFormat="1" ht="120" x14ac:dyDescent="0.25">
      <c r="A200" s="41"/>
      <c r="B200" s="35"/>
      <c r="C200" s="35" t="s">
        <v>267</v>
      </c>
      <c r="D200" s="35" t="s">
        <v>397</v>
      </c>
      <c r="E200" s="42" t="s">
        <v>318</v>
      </c>
      <c r="F200" s="14" t="s">
        <v>447</v>
      </c>
      <c r="G200" s="188">
        <v>723</v>
      </c>
      <c r="H200" s="188">
        <v>574.67499999999995</v>
      </c>
      <c r="I200" s="188">
        <f>G200</f>
        <v>723</v>
      </c>
      <c r="J200" s="186">
        <v>0</v>
      </c>
      <c r="K200" s="186">
        <v>0</v>
      </c>
      <c r="L200" s="186">
        <v>0</v>
      </c>
    </row>
    <row r="201" spans="1:15" s="43" customFormat="1" ht="120" x14ac:dyDescent="0.25">
      <c r="A201" s="41"/>
      <c r="B201" s="35"/>
      <c r="C201" s="35" t="s">
        <v>746</v>
      </c>
      <c r="D201" s="35" t="s">
        <v>397</v>
      </c>
      <c r="E201" s="42" t="s">
        <v>732</v>
      </c>
      <c r="F201" s="14"/>
      <c r="G201" s="188">
        <v>0</v>
      </c>
      <c r="H201" s="188">
        <v>0</v>
      </c>
      <c r="I201" s="188">
        <v>0</v>
      </c>
      <c r="J201" s="186">
        <v>835.1</v>
      </c>
      <c r="K201" s="186">
        <v>835.1</v>
      </c>
      <c r="L201" s="186">
        <v>835.1</v>
      </c>
    </row>
    <row r="202" spans="1:15" s="43" customFormat="1" ht="75" x14ac:dyDescent="0.25">
      <c r="A202" s="41"/>
      <c r="B202" s="35"/>
      <c r="C202" s="35" t="s">
        <v>267</v>
      </c>
      <c r="D202" s="35" t="s">
        <v>399</v>
      </c>
      <c r="E202" s="42" t="s">
        <v>318</v>
      </c>
      <c r="F202" s="14" t="s">
        <v>451</v>
      </c>
      <c r="G202" s="188">
        <v>224956.6</v>
      </c>
      <c r="H202" s="188">
        <v>185914.18299999999</v>
      </c>
      <c r="I202" s="188">
        <f>G202</f>
        <v>224956.6</v>
      </c>
      <c r="J202" s="186">
        <v>0</v>
      </c>
      <c r="K202" s="186">
        <v>0</v>
      </c>
      <c r="L202" s="186">
        <v>0</v>
      </c>
    </row>
    <row r="203" spans="1:15" s="43" customFormat="1" ht="75" x14ac:dyDescent="0.25">
      <c r="A203" s="41"/>
      <c r="B203" s="35"/>
      <c r="C203" s="35" t="s">
        <v>746</v>
      </c>
      <c r="D203" s="35" t="s">
        <v>399</v>
      </c>
      <c r="E203" s="42" t="s">
        <v>732</v>
      </c>
      <c r="F203" s="14"/>
      <c r="G203" s="188">
        <v>0</v>
      </c>
      <c r="H203" s="188">
        <v>0</v>
      </c>
      <c r="I203" s="188">
        <v>0</v>
      </c>
      <c r="J203" s="186">
        <v>265094.2</v>
      </c>
      <c r="K203" s="186">
        <v>265094.2</v>
      </c>
      <c r="L203" s="186">
        <v>265094.2</v>
      </c>
    </row>
    <row r="204" spans="1:15" s="43" customFormat="1" ht="135" x14ac:dyDescent="0.25">
      <c r="A204" s="41"/>
      <c r="B204" s="35"/>
      <c r="C204" s="35" t="s">
        <v>267</v>
      </c>
      <c r="D204" s="35" t="s">
        <v>400</v>
      </c>
      <c r="E204" s="42" t="s">
        <v>318</v>
      </c>
      <c r="F204" s="14" t="s">
        <v>460</v>
      </c>
      <c r="G204" s="190">
        <v>400.5</v>
      </c>
      <c r="H204" s="190">
        <v>48.4</v>
      </c>
      <c r="I204" s="188">
        <f>G204</f>
        <v>400.5</v>
      </c>
      <c r="J204" s="190">
        <v>0</v>
      </c>
      <c r="K204" s="190">
        <v>0</v>
      </c>
      <c r="L204" s="190">
        <v>0</v>
      </c>
    </row>
    <row r="205" spans="1:15" s="43" customFormat="1" ht="135" x14ac:dyDescent="0.25">
      <c r="A205" s="41"/>
      <c r="B205" s="35"/>
      <c r="C205" s="35" t="s">
        <v>746</v>
      </c>
      <c r="D205" s="35" t="s">
        <v>400</v>
      </c>
      <c r="E205" s="42" t="s">
        <v>732</v>
      </c>
      <c r="F205" s="14"/>
      <c r="G205" s="190">
        <v>0</v>
      </c>
      <c r="H205" s="190">
        <v>0</v>
      </c>
      <c r="I205" s="188">
        <v>0</v>
      </c>
      <c r="J205" s="190">
        <v>473.7</v>
      </c>
      <c r="K205" s="190">
        <v>473.7</v>
      </c>
      <c r="L205" s="190">
        <v>473.7</v>
      </c>
    </row>
    <row r="206" spans="1:15" s="43" customFormat="1" ht="105" x14ac:dyDescent="0.25">
      <c r="A206" s="41"/>
      <c r="B206" s="35"/>
      <c r="C206" s="35" t="s">
        <v>267</v>
      </c>
      <c r="D206" s="35" t="s">
        <v>749</v>
      </c>
      <c r="E206" s="42" t="s">
        <v>318</v>
      </c>
      <c r="F206" s="14" t="s">
        <v>461</v>
      </c>
      <c r="G206" s="188">
        <v>921</v>
      </c>
      <c r="H206" s="188">
        <v>727.6</v>
      </c>
      <c r="I206" s="188">
        <f>G206</f>
        <v>921</v>
      </c>
      <c r="J206" s="190">
        <v>0</v>
      </c>
      <c r="K206" s="190">
        <v>0</v>
      </c>
      <c r="L206" s="190">
        <v>0</v>
      </c>
    </row>
    <row r="207" spans="1:15" s="43" customFormat="1" ht="105" x14ac:dyDescent="0.25">
      <c r="A207" s="41"/>
      <c r="B207" s="35"/>
      <c r="C207" s="35" t="s">
        <v>746</v>
      </c>
      <c r="D207" s="35" t="s">
        <v>749</v>
      </c>
      <c r="E207" s="42" t="s">
        <v>732</v>
      </c>
      <c r="F207" s="14"/>
      <c r="G207" s="188">
        <v>0</v>
      </c>
      <c r="H207" s="188">
        <v>0</v>
      </c>
      <c r="I207" s="188">
        <v>0</v>
      </c>
      <c r="J207" s="190">
        <v>1029.8</v>
      </c>
      <c r="K207" s="190">
        <v>1029.8</v>
      </c>
      <c r="L207" s="190">
        <v>1029.8</v>
      </c>
    </row>
    <row r="208" spans="1:15" s="43" customFormat="1" ht="135" x14ac:dyDescent="0.25">
      <c r="A208" s="41"/>
      <c r="B208" s="35"/>
      <c r="C208" s="35" t="s">
        <v>267</v>
      </c>
      <c r="D208" s="35" t="s">
        <v>602</v>
      </c>
      <c r="E208" s="42" t="s">
        <v>318</v>
      </c>
      <c r="F208" s="14" t="s">
        <v>462</v>
      </c>
      <c r="G208" s="188">
        <v>2523.1</v>
      </c>
      <c r="H208" s="188">
        <v>2167.3829999999998</v>
      </c>
      <c r="I208" s="188">
        <f>G208</f>
        <v>2523.1</v>
      </c>
      <c r="J208" s="190">
        <v>0</v>
      </c>
      <c r="K208" s="190">
        <v>0</v>
      </c>
      <c r="L208" s="190">
        <v>0</v>
      </c>
    </row>
    <row r="209" spans="1:18" s="43" customFormat="1" ht="135" x14ac:dyDescent="0.25">
      <c r="A209" s="41"/>
      <c r="B209" s="35"/>
      <c r="C209" s="35" t="s">
        <v>746</v>
      </c>
      <c r="D209" s="35" t="s">
        <v>602</v>
      </c>
      <c r="E209" s="42" t="s">
        <v>732</v>
      </c>
      <c r="F209" s="14"/>
      <c r="G209" s="188">
        <v>0</v>
      </c>
      <c r="H209" s="188">
        <v>0</v>
      </c>
      <c r="I209" s="188">
        <v>0</v>
      </c>
      <c r="J209" s="190">
        <v>3319.1</v>
      </c>
      <c r="K209" s="190">
        <v>3319.1</v>
      </c>
      <c r="L209" s="190">
        <v>3295.2</v>
      </c>
    </row>
    <row r="210" spans="1:18" s="43" customFormat="1" ht="90" x14ac:dyDescent="0.25">
      <c r="A210" s="41"/>
      <c r="B210" s="35"/>
      <c r="C210" s="35" t="s">
        <v>267</v>
      </c>
      <c r="D210" s="35" t="s">
        <v>403</v>
      </c>
      <c r="E210" s="42" t="s">
        <v>318</v>
      </c>
      <c r="F210" s="14" t="s">
        <v>468</v>
      </c>
      <c r="G210" s="188">
        <v>415</v>
      </c>
      <c r="H210" s="188">
        <v>415</v>
      </c>
      <c r="I210" s="188">
        <f>G210</f>
        <v>415</v>
      </c>
      <c r="J210" s="190">
        <v>0</v>
      </c>
      <c r="K210" s="190">
        <v>0</v>
      </c>
      <c r="L210" s="190">
        <v>0</v>
      </c>
    </row>
    <row r="211" spans="1:18" s="43" customFormat="1" ht="90" x14ac:dyDescent="0.25">
      <c r="A211" s="41"/>
      <c r="B211" s="35"/>
      <c r="C211" s="35" t="s">
        <v>746</v>
      </c>
      <c r="D211" s="35" t="s">
        <v>403</v>
      </c>
      <c r="E211" s="42" t="s">
        <v>732</v>
      </c>
      <c r="F211" s="14"/>
      <c r="G211" s="188">
        <v>0</v>
      </c>
      <c r="H211" s="188">
        <v>0</v>
      </c>
      <c r="I211" s="188">
        <v>0</v>
      </c>
      <c r="J211" s="190">
        <v>415.6</v>
      </c>
      <c r="K211" s="190">
        <v>415.6</v>
      </c>
      <c r="L211" s="190">
        <v>415.6</v>
      </c>
    </row>
    <row r="212" spans="1:18" s="43" customFormat="1" ht="75" x14ac:dyDescent="0.25">
      <c r="A212" s="41"/>
      <c r="B212" s="35"/>
      <c r="C212" s="35" t="s">
        <v>269</v>
      </c>
      <c r="D212" s="35" t="s">
        <v>597</v>
      </c>
      <c r="E212" s="42" t="s">
        <v>408</v>
      </c>
      <c r="F212" s="14" t="s">
        <v>470</v>
      </c>
      <c r="G212" s="188">
        <v>558.74199999999996</v>
      </c>
      <c r="H212" s="188">
        <v>500</v>
      </c>
      <c r="I212" s="188">
        <f>G212</f>
        <v>558.74199999999996</v>
      </c>
      <c r="J212" s="190">
        <v>0</v>
      </c>
      <c r="K212" s="190">
        <v>0</v>
      </c>
      <c r="L212" s="190">
        <v>0</v>
      </c>
    </row>
    <row r="213" spans="1:18" s="43" customFormat="1" ht="75" x14ac:dyDescent="0.25">
      <c r="A213" s="41"/>
      <c r="B213" s="35"/>
      <c r="C213" s="35" t="s">
        <v>754</v>
      </c>
      <c r="D213" s="35" t="s">
        <v>597</v>
      </c>
      <c r="E213" s="42" t="s">
        <v>755</v>
      </c>
      <c r="F213" s="14"/>
      <c r="G213" s="188">
        <v>0</v>
      </c>
      <c r="H213" s="188">
        <v>0</v>
      </c>
      <c r="I213" s="188">
        <v>0</v>
      </c>
      <c r="J213" s="190">
        <v>4384.7</v>
      </c>
      <c r="K213" s="190">
        <v>5303.9</v>
      </c>
      <c r="L213" s="190">
        <v>4691.3</v>
      </c>
    </row>
    <row r="214" spans="1:18" s="43" customFormat="1" ht="75" x14ac:dyDescent="0.25">
      <c r="A214" s="41"/>
      <c r="B214" s="35"/>
      <c r="C214" s="35" t="s">
        <v>269</v>
      </c>
      <c r="D214" s="35" t="s">
        <v>750</v>
      </c>
      <c r="E214" s="42" t="s">
        <v>408</v>
      </c>
      <c r="F214" s="14" t="s">
        <v>471</v>
      </c>
      <c r="G214" s="188">
        <v>203.3</v>
      </c>
      <c r="H214" s="188">
        <v>202.64519999999999</v>
      </c>
      <c r="I214" s="188">
        <f>G214</f>
        <v>203.3</v>
      </c>
      <c r="J214" s="190">
        <v>0</v>
      </c>
      <c r="K214" s="190">
        <v>0</v>
      </c>
      <c r="L214" s="190">
        <v>0</v>
      </c>
    </row>
    <row r="215" spans="1:18" s="43" customFormat="1" ht="75" x14ac:dyDescent="0.25">
      <c r="A215" s="41"/>
      <c r="B215" s="35"/>
      <c r="C215" s="35" t="s">
        <v>754</v>
      </c>
      <c r="D215" s="35" t="s">
        <v>750</v>
      </c>
      <c r="E215" s="42" t="s">
        <v>755</v>
      </c>
      <c r="F215" s="14"/>
      <c r="G215" s="188">
        <v>0</v>
      </c>
      <c r="H215" s="188">
        <v>0</v>
      </c>
      <c r="I215" s="188">
        <v>0</v>
      </c>
      <c r="J215" s="190">
        <v>122</v>
      </c>
      <c r="K215" s="190">
        <v>122</v>
      </c>
      <c r="L215" s="190">
        <v>122</v>
      </c>
    </row>
    <row r="216" spans="1:18" s="43" customFormat="1" ht="90" x14ac:dyDescent="0.25">
      <c r="A216" s="41"/>
      <c r="B216" s="35"/>
      <c r="C216" s="35" t="s">
        <v>425</v>
      </c>
      <c r="D216" s="35" t="s">
        <v>426</v>
      </c>
      <c r="E216" s="42" t="s">
        <v>380</v>
      </c>
      <c r="F216" s="14" t="s">
        <v>476</v>
      </c>
      <c r="G216" s="188">
        <v>44.9</v>
      </c>
      <c r="H216" s="188">
        <v>0</v>
      </c>
      <c r="I216" s="188">
        <v>44.9</v>
      </c>
      <c r="J216" s="188">
        <v>0</v>
      </c>
      <c r="K216" s="188">
        <v>0</v>
      </c>
      <c r="L216" s="188">
        <v>0</v>
      </c>
    </row>
    <row r="217" spans="1:18" s="43" customFormat="1" ht="90" x14ac:dyDescent="0.25">
      <c r="A217" s="41"/>
      <c r="B217" s="35"/>
      <c r="C217" s="35" t="s">
        <v>779</v>
      </c>
      <c r="D217" s="35" t="s">
        <v>426</v>
      </c>
      <c r="E217" s="42" t="s">
        <v>762</v>
      </c>
      <c r="F217" s="14"/>
      <c r="G217" s="188">
        <v>0</v>
      </c>
      <c r="H217" s="188">
        <v>0</v>
      </c>
      <c r="I217" s="188">
        <v>0</v>
      </c>
      <c r="J217" s="188">
        <v>44.9</v>
      </c>
      <c r="K217" s="188">
        <v>44.9</v>
      </c>
      <c r="L217" s="188">
        <v>44.9</v>
      </c>
    </row>
    <row r="218" spans="1:18" s="43" customFormat="1" ht="60" x14ac:dyDescent="0.25">
      <c r="A218" s="41"/>
      <c r="B218" s="53"/>
      <c r="C218" s="53" t="s">
        <v>756</v>
      </c>
      <c r="D218" s="53" t="s">
        <v>757</v>
      </c>
      <c r="E218" s="54"/>
      <c r="F218" s="14" t="s">
        <v>482</v>
      </c>
      <c r="G218" s="191">
        <f t="shared" ref="G218:L218" si="64">SUM(G219:G220)</f>
        <v>466.28</v>
      </c>
      <c r="H218" s="191">
        <f t="shared" si="64"/>
        <v>466.28</v>
      </c>
      <c r="I218" s="191">
        <f t="shared" si="64"/>
        <v>466.28</v>
      </c>
      <c r="J218" s="191">
        <f t="shared" si="64"/>
        <v>651.1</v>
      </c>
      <c r="K218" s="191">
        <f t="shared" si="64"/>
        <v>846</v>
      </c>
      <c r="L218" s="191">
        <f t="shared" si="64"/>
        <v>846</v>
      </c>
    </row>
    <row r="219" spans="1:18" s="43" customFormat="1" ht="75" x14ac:dyDescent="0.25">
      <c r="A219" s="41"/>
      <c r="B219" s="35"/>
      <c r="C219" s="35" t="s">
        <v>419</v>
      </c>
      <c r="D219" s="35" t="s">
        <v>594</v>
      </c>
      <c r="E219" s="42" t="s">
        <v>408</v>
      </c>
      <c r="F219" s="14" t="s">
        <v>503</v>
      </c>
      <c r="G219" s="184">
        <v>466.28</v>
      </c>
      <c r="H219" s="184">
        <v>466.28</v>
      </c>
      <c r="I219" s="188">
        <f>G219</f>
        <v>466.28</v>
      </c>
      <c r="J219" s="188">
        <v>0</v>
      </c>
      <c r="K219" s="188">
        <v>0</v>
      </c>
      <c r="L219" s="188">
        <v>0</v>
      </c>
      <c r="R219" s="43">
        <v>15</v>
      </c>
    </row>
    <row r="220" spans="1:18" s="43" customFormat="1" ht="75" x14ac:dyDescent="0.25">
      <c r="A220" s="41"/>
      <c r="B220" s="35"/>
      <c r="C220" s="35" t="s">
        <v>759</v>
      </c>
      <c r="D220" s="35" t="s">
        <v>758</v>
      </c>
      <c r="E220" s="42" t="s">
        <v>755</v>
      </c>
      <c r="F220" s="14"/>
      <c r="G220" s="184">
        <v>0</v>
      </c>
      <c r="H220" s="184">
        <v>0</v>
      </c>
      <c r="I220" s="188">
        <v>0</v>
      </c>
      <c r="J220" s="188">
        <v>651.1</v>
      </c>
      <c r="K220" s="188">
        <v>846</v>
      </c>
      <c r="L220" s="188">
        <v>846</v>
      </c>
    </row>
    <row r="221" spans="1:18" s="43" customFormat="1" ht="75" x14ac:dyDescent="0.25">
      <c r="A221" s="41"/>
      <c r="B221" s="53"/>
      <c r="C221" s="53" t="s">
        <v>422</v>
      </c>
      <c r="D221" s="53" t="s">
        <v>421</v>
      </c>
      <c r="E221" s="54"/>
      <c r="F221" s="14" t="s">
        <v>608</v>
      </c>
      <c r="G221" s="185">
        <f>G222+G225+G227+G224+G223+G226+G228</f>
        <v>2071.4867400000003</v>
      </c>
      <c r="H221" s="185">
        <f t="shared" ref="H221:L221" si="65">H222+H225+H227+H224+H223+H226+H228</f>
        <v>1904.6150600000001</v>
      </c>
      <c r="I221" s="185">
        <f t="shared" si="65"/>
        <v>2071.4867400000003</v>
      </c>
      <c r="J221" s="185">
        <f>J222+J225+J227+J224+J223+J226+J228</f>
        <v>3745.4</v>
      </c>
      <c r="K221" s="185">
        <f t="shared" si="65"/>
        <v>3998.7000000000003</v>
      </c>
      <c r="L221" s="185">
        <f t="shared" si="65"/>
        <v>4040.9</v>
      </c>
    </row>
    <row r="222" spans="1:18" s="43" customFormat="1" ht="75" x14ac:dyDescent="0.25">
      <c r="A222" s="41"/>
      <c r="B222" s="35"/>
      <c r="C222" s="35" t="s">
        <v>424</v>
      </c>
      <c r="D222" s="35" t="s">
        <v>595</v>
      </c>
      <c r="E222" s="42" t="s">
        <v>408</v>
      </c>
      <c r="F222" s="14" t="s">
        <v>609</v>
      </c>
      <c r="G222" s="184">
        <v>653.16205000000002</v>
      </c>
      <c r="H222" s="184">
        <v>486.29037</v>
      </c>
      <c r="I222" s="184">
        <f>G222</f>
        <v>653.16205000000002</v>
      </c>
      <c r="J222" s="188">
        <v>0</v>
      </c>
      <c r="K222" s="188">
        <v>0</v>
      </c>
      <c r="L222" s="188">
        <v>0</v>
      </c>
    </row>
    <row r="223" spans="1:18" s="43" customFormat="1" ht="75" x14ac:dyDescent="0.25">
      <c r="A223" s="41"/>
      <c r="B223" s="35"/>
      <c r="C223" s="35" t="s">
        <v>760</v>
      </c>
      <c r="D223" s="35" t="s">
        <v>595</v>
      </c>
      <c r="E223" s="42" t="s">
        <v>755</v>
      </c>
      <c r="F223" s="14"/>
      <c r="G223" s="184">
        <v>0</v>
      </c>
      <c r="H223" s="184">
        <v>0</v>
      </c>
      <c r="I223" s="184">
        <v>0</v>
      </c>
      <c r="J223" s="188">
        <v>327.10000000000002</v>
      </c>
      <c r="K223" s="188">
        <v>327.10000000000002</v>
      </c>
      <c r="L223" s="188">
        <v>332.8</v>
      </c>
    </row>
    <row r="224" spans="1:18" s="43" customFormat="1" ht="75" x14ac:dyDescent="0.25">
      <c r="A224" s="41"/>
      <c r="B224" s="35"/>
      <c r="C224" s="35" t="s">
        <v>760</v>
      </c>
      <c r="D224" s="35" t="s">
        <v>596</v>
      </c>
      <c r="E224" s="42" t="s">
        <v>755</v>
      </c>
      <c r="F224" s="14" t="s">
        <v>610</v>
      </c>
      <c r="G224" s="184">
        <v>0</v>
      </c>
      <c r="H224" s="184">
        <v>0</v>
      </c>
      <c r="I224" s="184">
        <v>0</v>
      </c>
      <c r="J224" s="188">
        <v>7</v>
      </c>
      <c r="K224" s="188">
        <v>8.1</v>
      </c>
      <c r="L224" s="188">
        <v>8.1999999999999993</v>
      </c>
    </row>
    <row r="225" spans="1:12" s="55" customFormat="1" ht="75" x14ac:dyDescent="0.25">
      <c r="A225" s="52"/>
      <c r="B225" s="35"/>
      <c r="C225" s="35" t="s">
        <v>424</v>
      </c>
      <c r="D225" s="35" t="s">
        <v>414</v>
      </c>
      <c r="E225" s="42" t="s">
        <v>408</v>
      </c>
      <c r="F225" s="14" t="s">
        <v>611</v>
      </c>
      <c r="G225" s="184">
        <v>1246.2266400000001</v>
      </c>
      <c r="H225" s="184">
        <v>1246.2266400000001</v>
      </c>
      <c r="I225" s="184">
        <f>G225</f>
        <v>1246.2266400000001</v>
      </c>
      <c r="J225" s="188">
        <v>0</v>
      </c>
      <c r="K225" s="188">
        <v>0</v>
      </c>
      <c r="L225" s="188">
        <v>0</v>
      </c>
    </row>
    <row r="226" spans="1:12" s="43" customFormat="1" ht="75" x14ac:dyDescent="0.25">
      <c r="A226" s="41"/>
      <c r="B226" s="35"/>
      <c r="C226" s="35" t="s">
        <v>760</v>
      </c>
      <c r="D226" s="35" t="s">
        <v>414</v>
      </c>
      <c r="E226" s="42" t="s">
        <v>755</v>
      </c>
      <c r="F226" s="14"/>
      <c r="G226" s="184">
        <v>0</v>
      </c>
      <c r="H226" s="184">
        <v>0</v>
      </c>
      <c r="I226" s="184">
        <v>0</v>
      </c>
      <c r="J226" s="188">
        <v>2099.9</v>
      </c>
      <c r="K226" s="188">
        <v>2099.9</v>
      </c>
      <c r="L226" s="188">
        <v>2136.3000000000002</v>
      </c>
    </row>
    <row r="227" spans="1:12" s="43" customFormat="1" ht="75" x14ac:dyDescent="0.25">
      <c r="A227" s="41"/>
      <c r="B227" s="35"/>
      <c r="C227" s="35" t="s">
        <v>424</v>
      </c>
      <c r="D227" s="35" t="s">
        <v>575</v>
      </c>
      <c r="E227" s="42" t="s">
        <v>408</v>
      </c>
      <c r="F227" s="14" t="s">
        <v>612</v>
      </c>
      <c r="G227" s="184">
        <v>172.09805</v>
      </c>
      <c r="H227" s="184">
        <v>172.09805</v>
      </c>
      <c r="I227" s="184">
        <f>H227</f>
        <v>172.09805</v>
      </c>
      <c r="J227" s="188">
        <v>0</v>
      </c>
      <c r="K227" s="188">
        <v>0</v>
      </c>
      <c r="L227" s="188">
        <v>0</v>
      </c>
    </row>
    <row r="228" spans="1:12" s="43" customFormat="1" ht="75" x14ac:dyDescent="0.25">
      <c r="A228" s="41"/>
      <c r="B228" s="35"/>
      <c r="C228" s="35" t="s">
        <v>760</v>
      </c>
      <c r="D228" s="35" t="s">
        <v>575</v>
      </c>
      <c r="E228" s="42" t="s">
        <v>755</v>
      </c>
      <c r="F228" s="14"/>
      <c r="G228" s="184">
        <v>0</v>
      </c>
      <c r="H228" s="184">
        <v>0</v>
      </c>
      <c r="I228" s="184">
        <v>0</v>
      </c>
      <c r="J228" s="188">
        <v>1311.4</v>
      </c>
      <c r="K228" s="188">
        <v>1563.6</v>
      </c>
      <c r="L228" s="188">
        <v>1563.6</v>
      </c>
    </row>
    <row r="229" spans="1:12" s="55" customFormat="1" ht="75" x14ac:dyDescent="0.25">
      <c r="A229" s="52"/>
      <c r="B229" s="53"/>
      <c r="C229" s="53" t="s">
        <v>576</v>
      </c>
      <c r="D229" s="53" t="s">
        <v>780</v>
      </c>
      <c r="E229" s="54"/>
      <c r="F229" s="14" t="s">
        <v>613</v>
      </c>
      <c r="G229" s="185">
        <f>G230+G231</f>
        <v>18540.09</v>
      </c>
      <c r="H229" s="185">
        <f t="shared" ref="H229:L229" si="66">H230+H231</f>
        <v>0</v>
      </c>
      <c r="I229" s="185">
        <f t="shared" si="66"/>
        <v>18540.09</v>
      </c>
      <c r="J229" s="185">
        <f t="shared" si="66"/>
        <v>27128.2</v>
      </c>
      <c r="K229" s="185">
        <f t="shared" si="66"/>
        <v>26136</v>
      </c>
      <c r="L229" s="185">
        <f t="shared" si="66"/>
        <v>27207.200000000001</v>
      </c>
    </row>
    <row r="230" spans="1:12" s="43" customFormat="1" ht="90" x14ac:dyDescent="0.25">
      <c r="A230" s="41"/>
      <c r="B230" s="35"/>
      <c r="C230" s="35" t="s">
        <v>433</v>
      </c>
      <c r="D230" s="35" t="s">
        <v>577</v>
      </c>
      <c r="E230" s="42" t="s">
        <v>380</v>
      </c>
      <c r="F230" s="14" t="s">
        <v>614</v>
      </c>
      <c r="G230" s="184">
        <v>18540.09</v>
      </c>
      <c r="H230" s="184">
        <v>0</v>
      </c>
      <c r="I230" s="184">
        <f>G230</f>
        <v>18540.09</v>
      </c>
      <c r="J230" s="184">
        <v>0</v>
      </c>
      <c r="K230" s="184">
        <v>0</v>
      </c>
      <c r="L230" s="184">
        <v>0</v>
      </c>
    </row>
    <row r="231" spans="1:12" s="43" customFormat="1" ht="90" x14ac:dyDescent="0.25">
      <c r="A231" s="41"/>
      <c r="B231" s="35"/>
      <c r="C231" s="35" t="s">
        <v>781</v>
      </c>
      <c r="D231" s="35" t="s">
        <v>577</v>
      </c>
      <c r="E231" s="42" t="s">
        <v>762</v>
      </c>
      <c r="F231" s="14"/>
      <c r="G231" s="184">
        <v>0</v>
      </c>
      <c r="H231" s="184">
        <v>0</v>
      </c>
      <c r="I231" s="184">
        <v>0</v>
      </c>
      <c r="J231" s="184">
        <v>27128.2</v>
      </c>
      <c r="K231" s="184">
        <v>26136</v>
      </c>
      <c r="L231" s="184">
        <v>27207.200000000001</v>
      </c>
    </row>
    <row r="232" spans="1:12" s="55" customFormat="1" ht="135" x14ac:dyDescent="0.25">
      <c r="A232" s="52"/>
      <c r="B232" s="53"/>
      <c r="C232" s="53" t="s">
        <v>795</v>
      </c>
      <c r="D232" s="53" t="s">
        <v>796</v>
      </c>
      <c r="E232" s="54"/>
      <c r="F232" s="14"/>
      <c r="G232" s="185">
        <f>G233</f>
        <v>3345.2280000000001</v>
      </c>
      <c r="H232" s="185">
        <f t="shared" ref="H232:L232" si="67">H233</f>
        <v>0</v>
      </c>
      <c r="I232" s="185">
        <f t="shared" si="67"/>
        <v>3345.2280000000001</v>
      </c>
      <c r="J232" s="185">
        <f t="shared" si="67"/>
        <v>0</v>
      </c>
      <c r="K232" s="185">
        <f t="shared" si="67"/>
        <v>0</v>
      </c>
      <c r="L232" s="185">
        <f t="shared" si="67"/>
        <v>0</v>
      </c>
    </row>
    <row r="233" spans="1:12" s="43" customFormat="1" ht="135" x14ac:dyDescent="0.25">
      <c r="A233" s="41"/>
      <c r="B233" s="35"/>
      <c r="C233" s="35" t="s">
        <v>439</v>
      </c>
      <c r="D233" s="35" t="s">
        <v>796</v>
      </c>
      <c r="E233" s="42"/>
      <c r="F233" s="14"/>
      <c r="G233" s="184">
        <v>3345.2280000000001</v>
      </c>
      <c r="H233" s="184">
        <v>0</v>
      </c>
      <c r="I233" s="184">
        <f>G233</f>
        <v>3345.2280000000001</v>
      </c>
      <c r="J233" s="184">
        <v>0</v>
      </c>
      <c r="K233" s="184">
        <v>0</v>
      </c>
      <c r="L233" s="184">
        <v>0</v>
      </c>
    </row>
    <row r="234" spans="1:12" s="55" customFormat="1" ht="90" x14ac:dyDescent="0.25">
      <c r="A234" s="52"/>
      <c r="B234" s="53"/>
      <c r="C234" s="53" t="s">
        <v>580</v>
      </c>
      <c r="D234" s="53" t="s">
        <v>578</v>
      </c>
      <c r="E234" s="54"/>
      <c r="F234" s="14" t="s">
        <v>615</v>
      </c>
      <c r="G234" s="185">
        <f>G235</f>
        <v>1599.336</v>
      </c>
      <c r="H234" s="185">
        <f t="shared" ref="H234:L234" si="68">H235</f>
        <v>1599.336</v>
      </c>
      <c r="I234" s="185">
        <f t="shared" si="68"/>
        <v>1599.336</v>
      </c>
      <c r="J234" s="185">
        <f t="shared" si="68"/>
        <v>0</v>
      </c>
      <c r="K234" s="185">
        <f t="shared" si="68"/>
        <v>0</v>
      </c>
      <c r="L234" s="185">
        <f t="shared" si="68"/>
        <v>0</v>
      </c>
    </row>
    <row r="235" spans="1:12" s="43" customFormat="1" ht="90" x14ac:dyDescent="0.25">
      <c r="A235" s="41"/>
      <c r="B235" s="35"/>
      <c r="C235" s="35" t="s">
        <v>579</v>
      </c>
      <c r="D235" s="35" t="s">
        <v>578</v>
      </c>
      <c r="E235" s="42" t="s">
        <v>380</v>
      </c>
      <c r="F235" s="14" t="s">
        <v>616</v>
      </c>
      <c r="G235" s="184">
        <v>1599.336</v>
      </c>
      <c r="H235" s="184">
        <v>1599.336</v>
      </c>
      <c r="I235" s="184">
        <f>G235</f>
        <v>1599.336</v>
      </c>
      <c r="J235" s="184">
        <v>0</v>
      </c>
      <c r="K235" s="184">
        <v>0</v>
      </c>
      <c r="L235" s="184">
        <v>0</v>
      </c>
    </row>
    <row r="236" spans="1:12" s="55" customFormat="1" ht="120" x14ac:dyDescent="0.25">
      <c r="A236" s="52"/>
      <c r="B236" s="53"/>
      <c r="C236" s="53" t="s">
        <v>751</v>
      </c>
      <c r="D236" s="53" t="s">
        <v>404</v>
      </c>
      <c r="E236" s="54"/>
      <c r="F236" s="14" t="s">
        <v>617</v>
      </c>
      <c r="G236" s="185">
        <f>G237+G238</f>
        <v>1672.9</v>
      </c>
      <c r="H236" s="185">
        <f t="shared" ref="H236:L236" si="69">H237+H238</f>
        <v>1415.9970000000001</v>
      </c>
      <c r="I236" s="185">
        <f t="shared" si="69"/>
        <v>1672.9</v>
      </c>
      <c r="J236" s="185">
        <f t="shared" si="69"/>
        <v>1625.1</v>
      </c>
      <c r="K236" s="185">
        <f t="shared" si="69"/>
        <v>1625.1</v>
      </c>
      <c r="L236" s="185">
        <f t="shared" si="69"/>
        <v>1625.1</v>
      </c>
    </row>
    <row r="237" spans="1:12" s="43" customFormat="1" ht="105" x14ac:dyDescent="0.25">
      <c r="A237" s="41"/>
      <c r="B237" s="35"/>
      <c r="C237" s="35" t="s">
        <v>268</v>
      </c>
      <c r="D237" s="35" t="s">
        <v>404</v>
      </c>
      <c r="E237" s="42" t="s">
        <v>318</v>
      </c>
      <c r="F237" s="14" t="s">
        <v>618</v>
      </c>
      <c r="G237" s="188">
        <v>1672.9</v>
      </c>
      <c r="H237" s="188">
        <v>1415.9970000000001</v>
      </c>
      <c r="I237" s="184">
        <f>G237</f>
        <v>1672.9</v>
      </c>
      <c r="J237" s="188">
        <v>0</v>
      </c>
      <c r="K237" s="188">
        <v>0</v>
      </c>
      <c r="L237" s="188">
        <v>0</v>
      </c>
    </row>
    <row r="238" spans="1:12" s="43" customFormat="1" ht="105" x14ac:dyDescent="0.25">
      <c r="A238" s="41"/>
      <c r="B238" s="35"/>
      <c r="C238" s="35"/>
      <c r="D238" s="35" t="s">
        <v>404</v>
      </c>
      <c r="E238" s="42" t="s">
        <v>732</v>
      </c>
      <c r="F238" s="14"/>
      <c r="G238" s="188">
        <v>0</v>
      </c>
      <c r="H238" s="188">
        <v>0</v>
      </c>
      <c r="I238" s="184">
        <v>0</v>
      </c>
      <c r="J238" s="188">
        <v>1625.1</v>
      </c>
      <c r="K238" s="188">
        <v>1625.1</v>
      </c>
      <c r="L238" s="188">
        <v>1625.1</v>
      </c>
    </row>
    <row r="239" spans="1:12" s="55" customFormat="1" ht="60" x14ac:dyDescent="0.25">
      <c r="A239" s="52"/>
      <c r="B239" s="53"/>
      <c r="C239" s="53" t="s">
        <v>744</v>
      </c>
      <c r="D239" s="53" t="s">
        <v>745</v>
      </c>
      <c r="E239" s="54"/>
      <c r="F239" s="14" t="s">
        <v>619</v>
      </c>
      <c r="G239" s="191">
        <f>G240+G241</f>
        <v>11248.8</v>
      </c>
      <c r="H239" s="191">
        <f t="shared" ref="H239:L239" si="70">H240+H241</f>
        <v>9155.9601199999997</v>
      </c>
      <c r="I239" s="191">
        <f t="shared" si="70"/>
        <v>11248.8</v>
      </c>
      <c r="J239" s="191">
        <f t="shared" si="70"/>
        <v>12109.2</v>
      </c>
      <c r="K239" s="191">
        <f t="shared" si="70"/>
        <v>12421.2</v>
      </c>
      <c r="L239" s="191">
        <f t="shared" si="70"/>
        <v>12421.2</v>
      </c>
    </row>
    <row r="240" spans="1:12" s="47" customFormat="1" ht="75" x14ac:dyDescent="0.25">
      <c r="A240" s="41"/>
      <c r="B240" s="35"/>
      <c r="C240" s="35" t="s">
        <v>405</v>
      </c>
      <c r="D240" s="35" t="s">
        <v>406</v>
      </c>
      <c r="E240" s="42" t="s">
        <v>318</v>
      </c>
      <c r="F240" s="14" t="s">
        <v>620</v>
      </c>
      <c r="G240" s="188">
        <v>11248.8</v>
      </c>
      <c r="H240" s="188">
        <v>9155.9601199999997</v>
      </c>
      <c r="I240" s="188">
        <f>G240</f>
        <v>11248.8</v>
      </c>
      <c r="J240" s="188">
        <v>0</v>
      </c>
      <c r="K240" s="188">
        <v>0</v>
      </c>
      <c r="L240" s="188">
        <v>0</v>
      </c>
    </row>
    <row r="241" spans="1:15" s="47" customFormat="1" ht="75" x14ac:dyDescent="0.25">
      <c r="A241" s="41"/>
      <c r="B241" s="35"/>
      <c r="C241" s="35" t="s">
        <v>752</v>
      </c>
      <c r="D241" s="35" t="s">
        <v>406</v>
      </c>
      <c r="E241" s="42" t="s">
        <v>732</v>
      </c>
      <c r="F241" s="14"/>
      <c r="G241" s="188">
        <v>0</v>
      </c>
      <c r="H241" s="188">
        <v>0</v>
      </c>
      <c r="I241" s="188">
        <v>0</v>
      </c>
      <c r="J241" s="188">
        <v>12109.2</v>
      </c>
      <c r="K241" s="188">
        <v>12421.2</v>
      </c>
      <c r="L241" s="188">
        <v>12421.2</v>
      </c>
    </row>
    <row r="242" spans="1:15" s="55" customFormat="1" ht="60" x14ac:dyDescent="0.25">
      <c r="A242" s="52"/>
      <c r="B242" s="53"/>
      <c r="C242" s="53" t="s">
        <v>743</v>
      </c>
      <c r="D242" s="53" t="s">
        <v>737</v>
      </c>
      <c r="E242" s="54"/>
      <c r="F242" s="14" t="s">
        <v>621</v>
      </c>
      <c r="G242" s="191">
        <f>G243+G244</f>
        <v>1424.1</v>
      </c>
      <c r="H242" s="191">
        <f t="shared" ref="H242:L242" si="71">H243+H244</f>
        <v>1424.1</v>
      </c>
      <c r="I242" s="191">
        <f t="shared" si="71"/>
        <v>1424.1</v>
      </c>
      <c r="J242" s="191">
        <f t="shared" si="71"/>
        <v>1192.4000000000001</v>
      </c>
      <c r="K242" s="191">
        <f t="shared" si="71"/>
        <v>1244.2</v>
      </c>
      <c r="L242" s="191">
        <f t="shared" si="71"/>
        <v>1286.5999999999999</v>
      </c>
    </row>
    <row r="243" spans="1:15" s="43" customFormat="1" ht="75" x14ac:dyDescent="0.25">
      <c r="A243" s="41"/>
      <c r="B243" s="35"/>
      <c r="C243" s="35" t="s">
        <v>266</v>
      </c>
      <c r="D243" s="35" t="s">
        <v>737</v>
      </c>
      <c r="E243" s="42" t="s">
        <v>371</v>
      </c>
      <c r="F243" s="14" t="s">
        <v>622</v>
      </c>
      <c r="G243" s="188">
        <v>1424.1</v>
      </c>
      <c r="H243" s="188">
        <v>1424.1</v>
      </c>
      <c r="I243" s="188">
        <f>H243</f>
        <v>1424.1</v>
      </c>
      <c r="J243" s="184">
        <v>0</v>
      </c>
      <c r="K243" s="184">
        <v>0</v>
      </c>
      <c r="L243" s="184">
        <v>0</v>
      </c>
      <c r="N243" s="56">
        <v>11520.73546</v>
      </c>
      <c r="O243" s="56">
        <v>5745.5153500000006</v>
      </c>
    </row>
    <row r="244" spans="1:15" s="43" customFormat="1" ht="75" x14ac:dyDescent="0.25">
      <c r="A244" s="41"/>
      <c r="B244" s="35"/>
      <c r="C244" s="35" t="s">
        <v>738</v>
      </c>
      <c r="D244" s="35" t="s">
        <v>737</v>
      </c>
      <c r="E244" s="42" t="s">
        <v>726</v>
      </c>
      <c r="F244" s="14"/>
      <c r="G244" s="188">
        <v>0</v>
      </c>
      <c r="H244" s="188">
        <v>0</v>
      </c>
      <c r="I244" s="188">
        <v>0</v>
      </c>
      <c r="J244" s="184">
        <v>1192.4000000000001</v>
      </c>
      <c r="K244" s="184">
        <v>1244.2</v>
      </c>
      <c r="L244" s="184">
        <v>1286.5999999999999</v>
      </c>
      <c r="N244" s="56"/>
      <c r="O244" s="56"/>
    </row>
    <row r="245" spans="1:15" s="55" customFormat="1" ht="75" x14ac:dyDescent="0.25">
      <c r="A245" s="52"/>
      <c r="B245" s="53"/>
      <c r="C245" s="53" t="s">
        <v>741</v>
      </c>
      <c r="D245" s="53" t="s">
        <v>776</v>
      </c>
      <c r="E245" s="54"/>
      <c r="F245" s="14" t="s">
        <v>623</v>
      </c>
      <c r="G245" s="191">
        <f>G246+G247</f>
        <v>116.5</v>
      </c>
      <c r="H245" s="191">
        <f t="shared" ref="H245:L245" si="72">H246+H247</f>
        <v>0</v>
      </c>
      <c r="I245" s="191">
        <f t="shared" si="72"/>
        <v>116.5</v>
      </c>
      <c r="J245" s="191">
        <f t="shared" si="72"/>
        <v>2.6</v>
      </c>
      <c r="K245" s="191">
        <f t="shared" si="72"/>
        <v>2.6</v>
      </c>
      <c r="L245" s="191">
        <f t="shared" si="72"/>
        <v>17.100000000000001</v>
      </c>
      <c r="N245" s="146"/>
      <c r="O245" s="146"/>
    </row>
    <row r="246" spans="1:15" s="43" customFormat="1" ht="60" x14ac:dyDescent="0.25">
      <c r="A246" s="41"/>
      <c r="B246" s="35"/>
      <c r="C246" s="35" t="s">
        <v>441</v>
      </c>
      <c r="D246" s="35" t="s">
        <v>440</v>
      </c>
      <c r="E246" s="42" t="s">
        <v>313</v>
      </c>
      <c r="F246" s="14" t="s">
        <v>624</v>
      </c>
      <c r="G246" s="184">
        <v>116.5</v>
      </c>
      <c r="H246" s="184">
        <v>0</v>
      </c>
      <c r="I246" s="188">
        <f>G246</f>
        <v>116.5</v>
      </c>
      <c r="J246" s="184">
        <v>0</v>
      </c>
      <c r="K246" s="184">
        <v>0</v>
      </c>
      <c r="L246" s="184">
        <v>0</v>
      </c>
      <c r="N246" s="56"/>
      <c r="O246" s="56"/>
    </row>
    <row r="247" spans="1:15" s="43" customFormat="1" ht="60" x14ac:dyDescent="0.25">
      <c r="A247" s="41"/>
      <c r="B247" s="35"/>
      <c r="C247" s="35" t="s">
        <v>777</v>
      </c>
      <c r="D247" s="35" t="s">
        <v>775</v>
      </c>
      <c r="E247" s="42" t="s">
        <v>778</v>
      </c>
      <c r="F247" s="14"/>
      <c r="G247" s="184">
        <v>0</v>
      </c>
      <c r="H247" s="184">
        <v>0</v>
      </c>
      <c r="I247" s="188">
        <v>0</v>
      </c>
      <c r="J247" s="184">
        <v>2.6</v>
      </c>
      <c r="K247" s="184">
        <v>2.6</v>
      </c>
      <c r="L247" s="184">
        <v>17.100000000000001</v>
      </c>
      <c r="N247" s="56"/>
      <c r="O247" s="56"/>
    </row>
    <row r="248" spans="1:15" s="43" customFormat="1" ht="15.75" x14ac:dyDescent="0.25">
      <c r="A248" s="138"/>
      <c r="B248" s="53"/>
      <c r="C248" s="53" t="s">
        <v>740</v>
      </c>
      <c r="D248" s="53" t="s">
        <v>600</v>
      </c>
      <c r="E248" s="54"/>
      <c r="F248" s="14" t="s">
        <v>625</v>
      </c>
      <c r="G248" s="185">
        <f>G249+G250</f>
        <v>6131.7</v>
      </c>
      <c r="H248" s="185">
        <f t="shared" ref="H248:L248" si="73">H249+H250</f>
        <v>6131.7</v>
      </c>
      <c r="I248" s="185">
        <f t="shared" si="73"/>
        <v>6131.7</v>
      </c>
      <c r="J248" s="185">
        <f t="shared" si="73"/>
        <v>5802.8</v>
      </c>
      <c r="K248" s="185">
        <f t="shared" si="73"/>
        <v>5802.8</v>
      </c>
      <c r="L248" s="185">
        <f t="shared" si="73"/>
        <v>5802.8</v>
      </c>
      <c r="N248" s="43">
        <v>5720336.1499999994</v>
      </c>
      <c r="O248" s="43">
        <v>3433841.99</v>
      </c>
    </row>
    <row r="249" spans="1:15" s="142" customFormat="1" ht="75" x14ac:dyDescent="0.25">
      <c r="A249" s="139"/>
      <c r="B249" s="35"/>
      <c r="C249" s="35" t="s">
        <v>739</v>
      </c>
      <c r="D249" s="35" t="s">
        <v>600</v>
      </c>
      <c r="E249" s="42" t="s">
        <v>371</v>
      </c>
      <c r="F249" s="14" t="s">
        <v>626</v>
      </c>
      <c r="G249" s="184">
        <v>6131.7</v>
      </c>
      <c r="H249" s="184">
        <v>6131.7</v>
      </c>
      <c r="I249" s="188">
        <f>H249</f>
        <v>6131.7</v>
      </c>
      <c r="J249" s="184">
        <v>0</v>
      </c>
      <c r="K249" s="184">
        <v>0</v>
      </c>
      <c r="L249" s="184">
        <v>0</v>
      </c>
    </row>
    <row r="250" spans="1:15" s="142" customFormat="1" ht="75" x14ac:dyDescent="0.25">
      <c r="A250" s="139"/>
      <c r="B250" s="35"/>
      <c r="C250" s="35" t="s">
        <v>742</v>
      </c>
      <c r="D250" s="35" t="s">
        <v>600</v>
      </c>
      <c r="E250" s="42" t="s">
        <v>726</v>
      </c>
      <c r="F250" s="14"/>
      <c r="G250" s="184">
        <v>0</v>
      </c>
      <c r="H250" s="184">
        <v>0</v>
      </c>
      <c r="I250" s="188">
        <v>0</v>
      </c>
      <c r="J250" s="184">
        <v>5802.8</v>
      </c>
      <c r="K250" s="184">
        <v>5802.8</v>
      </c>
      <c r="L250" s="184">
        <v>5802.8</v>
      </c>
    </row>
    <row r="251" spans="1:15" s="43" customFormat="1" ht="29.25" x14ac:dyDescent="0.25">
      <c r="A251" s="41"/>
      <c r="B251" s="136" t="s">
        <v>229</v>
      </c>
      <c r="C251" s="136" t="s">
        <v>270</v>
      </c>
      <c r="D251" s="136" t="s">
        <v>229</v>
      </c>
      <c r="E251" s="137"/>
      <c r="F251" s="122" t="s">
        <v>627</v>
      </c>
      <c r="G251" s="187">
        <f>G252+G258</f>
        <v>16269.011879999998</v>
      </c>
      <c r="H251" s="187">
        <f t="shared" ref="H251:L251" si="74">H252+H258</f>
        <v>14558.981839999999</v>
      </c>
      <c r="I251" s="187">
        <f t="shared" si="74"/>
        <v>16269.011879999998</v>
      </c>
      <c r="J251" s="187">
        <f t="shared" si="74"/>
        <v>64.8</v>
      </c>
      <c r="K251" s="187">
        <f t="shared" si="74"/>
        <v>64.8</v>
      </c>
      <c r="L251" s="187">
        <f t="shared" si="74"/>
        <v>64.8</v>
      </c>
    </row>
    <row r="252" spans="1:15" s="43" customFormat="1" ht="72" x14ac:dyDescent="0.25">
      <c r="A252" s="41"/>
      <c r="B252" s="140"/>
      <c r="C252" s="140" t="s">
        <v>586</v>
      </c>
      <c r="D252" s="140" t="s">
        <v>231</v>
      </c>
      <c r="E252" s="141"/>
      <c r="F252" s="14" t="s">
        <v>628</v>
      </c>
      <c r="G252" s="192">
        <f>G253+G254+G255+G256+G257</f>
        <v>2210.6444799999999</v>
      </c>
      <c r="H252" s="192">
        <f t="shared" ref="H252:L252" si="75">H253+H254+H255+H256+H257</f>
        <v>938.94748000000004</v>
      </c>
      <c r="I252" s="192">
        <f t="shared" si="75"/>
        <v>2210.6444799999999</v>
      </c>
      <c r="J252" s="192">
        <f t="shared" si="75"/>
        <v>0</v>
      </c>
      <c r="K252" s="192">
        <f t="shared" si="75"/>
        <v>0</v>
      </c>
      <c r="L252" s="192">
        <f t="shared" si="75"/>
        <v>0</v>
      </c>
    </row>
    <row r="253" spans="1:15" s="43" customFormat="1" ht="75" x14ac:dyDescent="0.25">
      <c r="A253" s="41"/>
      <c r="B253" s="35"/>
      <c r="C253" s="35" t="s">
        <v>272</v>
      </c>
      <c r="D253" s="35" t="s">
        <v>231</v>
      </c>
      <c r="E253" s="42" t="s">
        <v>371</v>
      </c>
      <c r="F253" s="14" t="s">
        <v>629</v>
      </c>
      <c r="G253" s="188">
        <v>540.4</v>
      </c>
      <c r="H253" s="188">
        <v>323.51600000000002</v>
      </c>
      <c r="I253" s="184">
        <f>G253</f>
        <v>540.4</v>
      </c>
      <c r="J253" s="184">
        <v>0</v>
      </c>
      <c r="K253" s="184">
        <v>0</v>
      </c>
      <c r="L253" s="184">
        <v>0</v>
      </c>
    </row>
    <row r="254" spans="1:15" s="43" customFormat="1" ht="90" x14ac:dyDescent="0.25">
      <c r="A254" s="41"/>
      <c r="B254" s="35"/>
      <c r="C254" s="35" t="s">
        <v>444</v>
      </c>
      <c r="D254" s="35" t="s">
        <v>231</v>
      </c>
      <c r="E254" s="42" t="s">
        <v>317</v>
      </c>
      <c r="F254" s="14" t="s">
        <v>630</v>
      </c>
      <c r="G254" s="188">
        <v>215.44448</v>
      </c>
      <c r="H254" s="188">
        <v>169.49098000000001</v>
      </c>
      <c r="I254" s="184">
        <f t="shared" ref="I254:I257" si="76">G254</f>
        <v>215.44448</v>
      </c>
      <c r="J254" s="184">
        <v>0</v>
      </c>
      <c r="K254" s="184">
        <v>0</v>
      </c>
      <c r="L254" s="184">
        <v>0</v>
      </c>
    </row>
    <row r="255" spans="1:15" s="58" customFormat="1" ht="90" x14ac:dyDescent="0.25">
      <c r="A255" s="41"/>
      <c r="B255" s="35"/>
      <c r="C255" s="35" t="s">
        <v>446</v>
      </c>
      <c r="D255" s="35" t="s">
        <v>231</v>
      </c>
      <c r="E255" s="42" t="s">
        <v>380</v>
      </c>
      <c r="F255" s="14" t="s">
        <v>631</v>
      </c>
      <c r="G255" s="188">
        <v>703.8</v>
      </c>
      <c r="H255" s="188">
        <v>73.688500000000005</v>
      </c>
      <c r="I255" s="184">
        <f t="shared" si="76"/>
        <v>703.8</v>
      </c>
      <c r="J255" s="184">
        <v>0</v>
      </c>
      <c r="K255" s="184">
        <v>0</v>
      </c>
      <c r="L255" s="184">
        <v>0</v>
      </c>
    </row>
    <row r="256" spans="1:15" s="58" customFormat="1" ht="75" x14ac:dyDescent="0.25">
      <c r="A256" s="44"/>
      <c r="B256" s="35"/>
      <c r="C256" s="35" t="s">
        <v>448</v>
      </c>
      <c r="D256" s="35" t="s">
        <v>231</v>
      </c>
      <c r="E256" s="42" t="s">
        <v>314</v>
      </c>
      <c r="F256" s="14" t="s">
        <v>632</v>
      </c>
      <c r="G256" s="188">
        <v>106.3</v>
      </c>
      <c r="H256" s="188">
        <v>46.975999999999999</v>
      </c>
      <c r="I256" s="184">
        <f t="shared" si="76"/>
        <v>106.3</v>
      </c>
      <c r="J256" s="184">
        <v>0</v>
      </c>
      <c r="K256" s="184">
        <v>0</v>
      </c>
      <c r="L256" s="184">
        <v>0</v>
      </c>
    </row>
    <row r="257" spans="1:16" s="43" customFormat="1" ht="94.5" x14ac:dyDescent="0.25">
      <c r="A257" s="41"/>
      <c r="B257" s="35"/>
      <c r="C257" s="35" t="s">
        <v>449</v>
      </c>
      <c r="D257" s="35" t="s">
        <v>231</v>
      </c>
      <c r="E257" s="42" t="s">
        <v>313</v>
      </c>
      <c r="F257" s="14" t="s">
        <v>633</v>
      </c>
      <c r="G257" s="188">
        <v>644.70000000000005</v>
      </c>
      <c r="H257" s="188">
        <v>325.27600000000001</v>
      </c>
      <c r="I257" s="184">
        <f t="shared" si="76"/>
        <v>644.70000000000005</v>
      </c>
      <c r="J257" s="184">
        <v>0</v>
      </c>
      <c r="K257" s="184">
        <v>0</v>
      </c>
      <c r="L257" s="184">
        <v>0</v>
      </c>
      <c r="M257" s="147" t="s">
        <v>290</v>
      </c>
    </row>
    <row r="258" spans="1:16" s="43" customFormat="1" ht="30.75" customHeight="1" x14ac:dyDescent="0.25">
      <c r="A258" s="41"/>
      <c r="B258" s="45"/>
      <c r="C258" s="45" t="s">
        <v>782</v>
      </c>
      <c r="D258" s="45" t="s">
        <v>783</v>
      </c>
      <c r="E258" s="46"/>
      <c r="F258" s="14" t="s">
        <v>634</v>
      </c>
      <c r="G258" s="193">
        <f>G259+G260+G261+G262+G263+G264+G265+G266+G267+G268</f>
        <v>14058.367399999999</v>
      </c>
      <c r="H258" s="193">
        <f t="shared" ref="H258:L258" si="77">H259+H260+H261+H262+H263+H264+H265+H266+H267+H268</f>
        <v>13620.034359999998</v>
      </c>
      <c r="I258" s="193">
        <f t="shared" si="77"/>
        <v>14058.367399999999</v>
      </c>
      <c r="J258" s="193">
        <f t="shared" si="77"/>
        <v>64.8</v>
      </c>
      <c r="K258" s="193">
        <f t="shared" si="77"/>
        <v>64.8</v>
      </c>
      <c r="L258" s="193">
        <f t="shared" si="77"/>
        <v>64.8</v>
      </c>
    </row>
    <row r="259" spans="1:16" s="43" customFormat="1" ht="75" x14ac:dyDescent="0.25">
      <c r="A259" s="41"/>
      <c r="B259" s="35"/>
      <c r="C259" s="35" t="s">
        <v>785</v>
      </c>
      <c r="D259" s="35" t="s">
        <v>786</v>
      </c>
      <c r="E259" s="42" t="s">
        <v>371</v>
      </c>
      <c r="F259" s="14" t="s">
        <v>635</v>
      </c>
      <c r="G259" s="184">
        <v>751.3528</v>
      </c>
      <c r="H259" s="184">
        <v>751.3528</v>
      </c>
      <c r="I259" s="184">
        <f>G259</f>
        <v>751.3528</v>
      </c>
      <c r="J259" s="184">
        <v>0</v>
      </c>
      <c r="K259" s="184">
        <v>0</v>
      </c>
      <c r="L259" s="184">
        <v>0</v>
      </c>
      <c r="M259" s="385" t="s">
        <v>604</v>
      </c>
      <c r="N259" s="386"/>
      <c r="O259" s="386"/>
      <c r="P259" s="386"/>
    </row>
    <row r="260" spans="1:16" s="43" customFormat="1" ht="75" x14ac:dyDescent="0.25">
      <c r="A260" s="41"/>
      <c r="B260" s="35"/>
      <c r="C260" s="35" t="s">
        <v>785</v>
      </c>
      <c r="D260" s="35" t="s">
        <v>787</v>
      </c>
      <c r="E260" s="42" t="s">
        <v>371</v>
      </c>
      <c r="F260" s="14" t="s">
        <v>636</v>
      </c>
      <c r="G260" s="184">
        <v>894.97209999999995</v>
      </c>
      <c r="H260" s="184">
        <v>894.97209999999995</v>
      </c>
      <c r="I260" s="184">
        <f>G260</f>
        <v>894.97209999999995</v>
      </c>
      <c r="J260" s="184">
        <v>0</v>
      </c>
      <c r="K260" s="184">
        <v>0</v>
      </c>
      <c r="L260" s="184">
        <v>0</v>
      </c>
    </row>
    <row r="261" spans="1:16" s="43" customFormat="1" ht="75" x14ac:dyDescent="0.25">
      <c r="A261" s="41"/>
      <c r="B261" s="35"/>
      <c r="C261" s="35" t="s">
        <v>785</v>
      </c>
      <c r="D261" s="35" t="s">
        <v>788</v>
      </c>
      <c r="E261" s="42" t="s">
        <v>371</v>
      </c>
      <c r="F261" s="14"/>
      <c r="G261" s="184">
        <v>8117.4</v>
      </c>
      <c r="H261" s="184">
        <v>8117.4</v>
      </c>
      <c r="I261" s="184">
        <f>G261</f>
        <v>8117.4</v>
      </c>
      <c r="J261" s="184">
        <v>0</v>
      </c>
      <c r="K261" s="184">
        <v>0</v>
      </c>
      <c r="L261" s="184">
        <v>0</v>
      </c>
    </row>
    <row r="262" spans="1:16" s="43" customFormat="1" ht="90" x14ac:dyDescent="0.25">
      <c r="A262" s="201"/>
      <c r="B262" s="35"/>
      <c r="C262" s="35" t="s">
        <v>784</v>
      </c>
      <c r="D262" s="35" t="s">
        <v>604</v>
      </c>
      <c r="E262" s="42" t="s">
        <v>762</v>
      </c>
      <c r="F262" s="14" t="s">
        <v>637</v>
      </c>
      <c r="G262" s="184">
        <v>0</v>
      </c>
      <c r="H262" s="184">
        <v>0</v>
      </c>
      <c r="I262" s="184">
        <v>0</v>
      </c>
      <c r="J262" s="184">
        <v>64.8</v>
      </c>
      <c r="K262" s="184">
        <v>64.8</v>
      </c>
      <c r="L262" s="184">
        <v>64.8</v>
      </c>
    </row>
    <row r="263" spans="1:16" s="43" customFormat="1" ht="75" x14ac:dyDescent="0.25">
      <c r="A263" s="201"/>
      <c r="B263" s="35"/>
      <c r="C263" s="35" t="s">
        <v>790</v>
      </c>
      <c r="D263" s="35" t="s">
        <v>791</v>
      </c>
      <c r="E263" s="42" t="s">
        <v>318</v>
      </c>
      <c r="F263" s="14"/>
      <c r="G263" s="184">
        <v>1213.6608000000001</v>
      </c>
      <c r="H263" s="184">
        <v>1213.66067</v>
      </c>
      <c r="I263" s="184">
        <f t="shared" ref="I263:I268" si="78">G263</f>
        <v>1213.6608000000001</v>
      </c>
      <c r="J263" s="184">
        <v>0</v>
      </c>
      <c r="K263" s="184">
        <v>0</v>
      </c>
      <c r="L263" s="184">
        <v>0</v>
      </c>
    </row>
    <row r="264" spans="1:16" s="43" customFormat="1" ht="75" x14ac:dyDescent="0.25">
      <c r="A264" s="201"/>
      <c r="B264" s="35"/>
      <c r="C264" s="35" t="s">
        <v>790</v>
      </c>
      <c r="D264" s="35" t="s">
        <v>792</v>
      </c>
      <c r="E264" s="42" t="s">
        <v>318</v>
      </c>
      <c r="F264" s="14"/>
      <c r="G264" s="184">
        <v>1490.4955</v>
      </c>
      <c r="H264" s="184">
        <v>1242.0795900000001</v>
      </c>
      <c r="I264" s="184">
        <f t="shared" si="78"/>
        <v>1490.4955</v>
      </c>
      <c r="J264" s="184">
        <v>0</v>
      </c>
      <c r="K264" s="184">
        <v>0</v>
      </c>
      <c r="L264" s="184">
        <v>0</v>
      </c>
    </row>
    <row r="265" spans="1:16" s="43" customFormat="1" ht="75" x14ac:dyDescent="0.25">
      <c r="A265" s="201"/>
      <c r="B265" s="35"/>
      <c r="C265" s="35" t="s">
        <v>790</v>
      </c>
      <c r="D265" s="35" t="s">
        <v>793</v>
      </c>
      <c r="E265" s="42" t="s">
        <v>318</v>
      </c>
      <c r="F265" s="14"/>
      <c r="G265" s="184">
        <v>50.569200000000002</v>
      </c>
      <c r="H265" s="184">
        <v>50.569200000000002</v>
      </c>
      <c r="I265" s="184">
        <f t="shared" si="78"/>
        <v>50.569200000000002</v>
      </c>
      <c r="J265" s="184">
        <v>0</v>
      </c>
      <c r="K265" s="184">
        <v>0</v>
      </c>
      <c r="L265" s="184">
        <v>0</v>
      </c>
    </row>
    <row r="266" spans="1:16" s="43" customFormat="1" ht="90" x14ac:dyDescent="0.25">
      <c r="A266" s="201"/>
      <c r="B266" s="35"/>
      <c r="C266" s="35" t="s">
        <v>453</v>
      </c>
      <c r="D266" s="35" t="s">
        <v>797</v>
      </c>
      <c r="E266" s="42" t="s">
        <v>380</v>
      </c>
      <c r="F266" s="14"/>
      <c r="G266" s="184">
        <v>1350</v>
      </c>
      <c r="H266" s="184">
        <v>1350</v>
      </c>
      <c r="I266" s="184">
        <f t="shared" si="78"/>
        <v>1350</v>
      </c>
      <c r="J266" s="184">
        <v>0</v>
      </c>
      <c r="K266" s="184">
        <v>0</v>
      </c>
      <c r="L266" s="184">
        <v>0</v>
      </c>
    </row>
    <row r="267" spans="1:16" s="43" customFormat="1" ht="90" x14ac:dyDescent="0.25">
      <c r="A267" s="201"/>
      <c r="B267" s="35"/>
      <c r="C267" s="35" t="s">
        <v>453</v>
      </c>
      <c r="D267" s="35" t="s">
        <v>798</v>
      </c>
      <c r="E267" s="42" t="s">
        <v>380</v>
      </c>
      <c r="F267" s="14"/>
      <c r="G267" s="184">
        <v>125.4</v>
      </c>
      <c r="H267" s="184">
        <v>0</v>
      </c>
      <c r="I267" s="184">
        <f t="shared" si="78"/>
        <v>125.4</v>
      </c>
      <c r="J267" s="184">
        <v>0</v>
      </c>
      <c r="K267" s="184">
        <v>0</v>
      </c>
      <c r="L267" s="184">
        <v>0</v>
      </c>
    </row>
    <row r="268" spans="1:16" s="43" customFormat="1" ht="90" x14ac:dyDescent="0.25">
      <c r="A268" s="201"/>
      <c r="B268" s="35"/>
      <c r="C268" s="35" t="s">
        <v>453</v>
      </c>
      <c r="D268" s="35" t="s">
        <v>604</v>
      </c>
      <c r="E268" s="42" t="s">
        <v>380</v>
      </c>
      <c r="F268" s="14"/>
      <c r="G268" s="184">
        <v>64.516999999999996</v>
      </c>
      <c r="H268" s="184">
        <v>0</v>
      </c>
      <c r="I268" s="184">
        <f t="shared" si="78"/>
        <v>64.516999999999996</v>
      </c>
      <c r="J268" s="184">
        <v>0</v>
      </c>
      <c r="K268" s="184">
        <v>0</v>
      </c>
      <c r="L268" s="184">
        <v>0</v>
      </c>
    </row>
    <row r="269" spans="1:16" s="202" customFormat="1" ht="43.5" x14ac:dyDescent="0.25">
      <c r="A269" s="135"/>
      <c r="B269" s="136"/>
      <c r="C269" s="136" t="s">
        <v>806</v>
      </c>
      <c r="D269" s="136" t="s">
        <v>805</v>
      </c>
      <c r="E269" s="137"/>
      <c r="F269" s="118"/>
      <c r="G269" s="187">
        <f>G270</f>
        <v>704.34699999999998</v>
      </c>
      <c r="H269" s="187">
        <f t="shared" ref="H269:L269" si="79">H270</f>
        <v>704.34699999999998</v>
      </c>
      <c r="I269" s="187">
        <f t="shared" si="79"/>
        <v>704.34699999999998</v>
      </c>
      <c r="J269" s="187">
        <f t="shared" si="79"/>
        <v>0</v>
      </c>
      <c r="K269" s="187">
        <f t="shared" si="79"/>
        <v>0</v>
      </c>
      <c r="L269" s="187">
        <f t="shared" si="79"/>
        <v>0</v>
      </c>
    </row>
    <row r="270" spans="1:16" s="142" customFormat="1" ht="60" x14ac:dyDescent="0.25">
      <c r="A270" s="145"/>
      <c r="B270" s="35"/>
      <c r="C270" s="35" t="s">
        <v>807</v>
      </c>
      <c r="D270" s="35" t="s">
        <v>805</v>
      </c>
      <c r="E270" s="42" t="s">
        <v>313</v>
      </c>
      <c r="F270" s="14"/>
      <c r="G270" s="184">
        <v>704.34699999999998</v>
      </c>
      <c r="H270" s="184">
        <v>704.34699999999998</v>
      </c>
      <c r="I270" s="184">
        <f>H270</f>
        <v>704.34699999999998</v>
      </c>
      <c r="J270" s="184">
        <v>0</v>
      </c>
      <c r="K270" s="184">
        <v>0</v>
      </c>
      <c r="L270" s="184">
        <v>0</v>
      </c>
    </row>
    <row r="271" spans="1:16" s="142" customFormat="1" ht="15.75" x14ac:dyDescent="0.25">
      <c r="A271" s="145"/>
      <c r="B271" s="35"/>
      <c r="C271" s="35"/>
      <c r="D271" s="35"/>
      <c r="E271" s="42"/>
      <c r="F271" s="14"/>
      <c r="G271" s="184"/>
      <c r="H271" s="184"/>
      <c r="I271" s="184"/>
      <c r="J271" s="184"/>
      <c r="K271" s="184"/>
      <c r="L271" s="184"/>
    </row>
    <row r="272" spans="1:16" s="47" customFormat="1" ht="43.5" x14ac:dyDescent="0.25">
      <c r="A272" s="48"/>
      <c r="B272" s="136" t="s">
        <v>464</v>
      </c>
      <c r="C272" s="136" t="s">
        <v>463</v>
      </c>
      <c r="D272" s="136" t="s">
        <v>464</v>
      </c>
      <c r="E272" s="137"/>
      <c r="F272" s="122" t="s">
        <v>639</v>
      </c>
      <c r="G272" s="194">
        <f>G273+G274+G275</f>
        <v>1620.1713400000001</v>
      </c>
      <c r="H272" s="194">
        <f t="shared" ref="H272:L272" si="80">H273+H274+H275</f>
        <v>1743.3813400000001</v>
      </c>
      <c r="I272" s="194">
        <f t="shared" si="80"/>
        <v>1743.3813400000001</v>
      </c>
      <c r="J272" s="194">
        <f t="shared" si="80"/>
        <v>0</v>
      </c>
      <c r="K272" s="194">
        <f t="shared" si="80"/>
        <v>0</v>
      </c>
      <c r="L272" s="194">
        <f t="shared" si="80"/>
        <v>0</v>
      </c>
    </row>
    <row r="273" spans="1:12" s="43" customFormat="1" ht="75" x14ac:dyDescent="0.25">
      <c r="A273" s="138"/>
      <c r="B273" s="35"/>
      <c r="C273" s="35" t="s">
        <v>466</v>
      </c>
      <c r="D273" s="60" t="s">
        <v>465</v>
      </c>
      <c r="E273" s="42" t="s">
        <v>318</v>
      </c>
      <c r="F273" s="14" t="s">
        <v>641</v>
      </c>
      <c r="G273" s="196">
        <v>20</v>
      </c>
      <c r="H273" s="196">
        <v>20</v>
      </c>
      <c r="I273" s="196">
        <f>G273</f>
        <v>20</v>
      </c>
      <c r="J273" s="197">
        <v>0</v>
      </c>
      <c r="K273" s="197">
        <v>0</v>
      </c>
      <c r="L273" s="197">
        <v>0</v>
      </c>
    </row>
    <row r="274" spans="1:12" s="43" customFormat="1" ht="90" x14ac:dyDescent="0.25">
      <c r="A274" s="41"/>
      <c r="B274" s="35"/>
      <c r="C274" s="35" t="s">
        <v>799</v>
      </c>
      <c r="D274" s="35" t="s">
        <v>465</v>
      </c>
      <c r="E274" s="42" t="s">
        <v>380</v>
      </c>
      <c r="F274" s="14" t="s">
        <v>642</v>
      </c>
      <c r="G274" s="188">
        <v>1374.7013400000001</v>
      </c>
      <c r="H274" s="188">
        <v>1374.7013400000001</v>
      </c>
      <c r="I274" s="196">
        <f>G274</f>
        <v>1374.7013400000001</v>
      </c>
      <c r="J274" s="184">
        <v>0</v>
      </c>
      <c r="K274" s="184">
        <v>0</v>
      </c>
      <c r="L274" s="184">
        <v>0</v>
      </c>
    </row>
    <row r="275" spans="1:12" s="43" customFormat="1" ht="60" x14ac:dyDescent="0.25">
      <c r="A275" s="41"/>
      <c r="B275" s="35"/>
      <c r="C275" s="35" t="s">
        <v>467</v>
      </c>
      <c r="D275" s="35" t="s">
        <v>465</v>
      </c>
      <c r="E275" s="42" t="s">
        <v>313</v>
      </c>
      <c r="F275" s="14"/>
      <c r="G275" s="188">
        <v>225.47</v>
      </c>
      <c r="H275" s="188">
        <v>348.68</v>
      </c>
      <c r="I275" s="196">
        <f>H275</f>
        <v>348.68</v>
      </c>
      <c r="J275" s="184">
        <v>0</v>
      </c>
      <c r="K275" s="184">
        <v>0</v>
      </c>
      <c r="L275" s="184">
        <v>0</v>
      </c>
    </row>
    <row r="276" spans="1:12" ht="86.25" x14ac:dyDescent="0.25">
      <c r="A276" s="41"/>
      <c r="B276" s="136" t="s">
        <v>232</v>
      </c>
      <c r="C276" s="136" t="s">
        <v>273</v>
      </c>
      <c r="D276" s="136" t="s">
        <v>232</v>
      </c>
      <c r="E276" s="137"/>
      <c r="F276" s="122" t="s">
        <v>643</v>
      </c>
      <c r="G276" s="187">
        <f>G279+G280+G278+G277</f>
        <v>-2399.0119800000002</v>
      </c>
      <c r="H276" s="187">
        <f t="shared" ref="H276:L276" si="81">H279+H280+H278+H277</f>
        <v>-2399.0119800000002</v>
      </c>
      <c r="I276" s="187">
        <f t="shared" si="81"/>
        <v>-2399.0119800000002</v>
      </c>
      <c r="J276" s="187">
        <f t="shared" si="81"/>
        <v>0</v>
      </c>
      <c r="K276" s="187">
        <f t="shared" si="81"/>
        <v>0</v>
      </c>
      <c r="L276" s="187">
        <f t="shared" si="81"/>
        <v>0</v>
      </c>
    </row>
    <row r="277" spans="1:12" s="200" customFormat="1" ht="90" x14ac:dyDescent="0.25">
      <c r="A277" s="198"/>
      <c r="B277" s="143"/>
      <c r="C277" s="143" t="s">
        <v>802</v>
      </c>
      <c r="D277" s="143" t="s">
        <v>800</v>
      </c>
      <c r="E277" s="148" t="s">
        <v>380</v>
      </c>
      <c r="F277" s="199"/>
      <c r="G277" s="186">
        <v>-1302.6700499999999</v>
      </c>
      <c r="H277" s="186">
        <v>-1302.6700499999999</v>
      </c>
      <c r="I277" s="186">
        <f>G277</f>
        <v>-1302.6700499999999</v>
      </c>
      <c r="J277" s="186">
        <v>0</v>
      </c>
      <c r="K277" s="186">
        <v>0</v>
      </c>
      <c r="L277" s="186">
        <v>0</v>
      </c>
    </row>
    <row r="278" spans="1:12" s="200" customFormat="1" ht="75" x14ac:dyDescent="0.25">
      <c r="A278" s="198"/>
      <c r="B278" s="143"/>
      <c r="C278" s="143" t="s">
        <v>801</v>
      </c>
      <c r="D278" s="143" t="s">
        <v>789</v>
      </c>
      <c r="E278" s="148" t="s">
        <v>371</v>
      </c>
      <c r="F278" s="199"/>
      <c r="G278" s="186">
        <v>-3</v>
      </c>
      <c r="H278" s="186">
        <v>-3</v>
      </c>
      <c r="I278" s="186">
        <v>-3</v>
      </c>
      <c r="J278" s="186">
        <v>0</v>
      </c>
      <c r="K278" s="186">
        <v>0</v>
      </c>
      <c r="L278" s="186">
        <v>0</v>
      </c>
    </row>
    <row r="279" spans="1:12" ht="75" x14ac:dyDescent="0.25">
      <c r="B279" s="48"/>
      <c r="C279" s="48" t="s">
        <v>274</v>
      </c>
      <c r="D279" s="35" t="s">
        <v>234</v>
      </c>
      <c r="E279" s="42" t="s">
        <v>318</v>
      </c>
      <c r="F279" s="14" t="s">
        <v>644</v>
      </c>
      <c r="G279" s="184">
        <v>-987.13466000000005</v>
      </c>
      <c r="H279" s="184">
        <v>-987.13466000000005</v>
      </c>
      <c r="I279" s="184">
        <f>G279</f>
        <v>-987.13466000000005</v>
      </c>
      <c r="J279" s="184">
        <v>0</v>
      </c>
      <c r="K279" s="184">
        <v>0</v>
      </c>
      <c r="L279" s="184">
        <v>0</v>
      </c>
    </row>
    <row r="280" spans="1:12" ht="60" x14ac:dyDescent="0.25">
      <c r="B280" s="48"/>
      <c r="C280" s="48" t="s">
        <v>454</v>
      </c>
      <c r="D280" s="35" t="s">
        <v>234</v>
      </c>
      <c r="E280" s="42" t="s">
        <v>313</v>
      </c>
      <c r="F280" s="14" t="s">
        <v>645</v>
      </c>
      <c r="G280" s="184">
        <v>-106.20726999999999</v>
      </c>
      <c r="H280" s="184">
        <v>-106.20726999999999</v>
      </c>
      <c r="I280" s="184">
        <f>H280</f>
        <v>-106.20726999999999</v>
      </c>
      <c r="J280" s="184">
        <v>0</v>
      </c>
      <c r="K280" s="184">
        <v>0</v>
      </c>
      <c r="L280" s="184">
        <v>0</v>
      </c>
    </row>
    <row r="284" spans="1:12" x14ac:dyDescent="0.25">
      <c r="H284" s="164">
        <v>808334302.72000003</v>
      </c>
      <c r="I284" s="164">
        <v>486225110.12</v>
      </c>
    </row>
  </sheetData>
  <mergeCells count="19">
    <mergeCell ref="A1:K1"/>
    <mergeCell ref="A2:L2"/>
    <mergeCell ref="A3:L3"/>
    <mergeCell ref="D4:G4"/>
    <mergeCell ref="A5:A7"/>
    <mergeCell ref="B5:B7"/>
    <mergeCell ref="C5:D5"/>
    <mergeCell ref="E5:E7"/>
    <mergeCell ref="F5:F7"/>
    <mergeCell ref="G5:G7"/>
    <mergeCell ref="M259:P259"/>
    <mergeCell ref="H5:H7"/>
    <mergeCell ref="I5:I7"/>
    <mergeCell ref="J5:L5"/>
    <mergeCell ref="C6:C7"/>
    <mergeCell ref="D6:D7"/>
    <mergeCell ref="J6:J7"/>
    <mergeCell ref="K6:K7"/>
    <mergeCell ref="L6:L7"/>
  </mergeCells>
  <pageMargins left="0.7" right="0.7" top="0.75" bottom="0.75" header="0.3" footer="0.3"/>
  <pageSetup paperSize="9" scale="54" orientation="landscape" r:id="rId1"/>
  <colBreaks count="1" manualBreakCount="1">
    <brk id="12" max="28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05"/>
  <sheetViews>
    <sheetView topLeftCell="B1" workbookViewId="0">
      <selection activeCell="J11" sqref="J11"/>
    </sheetView>
  </sheetViews>
  <sheetFormatPr defaultRowHeight="15" x14ac:dyDescent="0.25"/>
  <cols>
    <col min="1" max="1" width="5.28515625" hidden="1" customWidth="1"/>
    <col min="2" max="2" width="29.85546875" customWidth="1"/>
    <col min="3" max="3" width="28" customWidth="1"/>
    <col min="4" max="4" width="56" customWidth="1"/>
    <col min="5" max="5" width="29.140625" style="212" customWidth="1"/>
    <col min="6" max="6" width="9.140625" customWidth="1"/>
    <col min="7" max="7" width="13.28515625" style="164" customWidth="1"/>
    <col min="8" max="8" width="14" style="164" customWidth="1"/>
    <col min="9" max="9" width="13.28515625" style="164" customWidth="1"/>
    <col min="10" max="10" width="14.28515625" style="164" customWidth="1"/>
    <col min="11" max="11" width="15.28515625" style="164" customWidth="1"/>
    <col min="12" max="12" width="13" style="164" customWidth="1"/>
    <col min="13" max="13" width="12.140625" customWidth="1"/>
    <col min="14" max="18" width="10.5703125" bestFit="1" customWidth="1"/>
  </cols>
  <sheetData>
    <row r="1" spans="1:37" ht="38.25" customHeight="1" x14ac:dyDescent="0.25">
      <c r="A1" s="210"/>
      <c r="B1" s="394" t="s">
        <v>1021</v>
      </c>
      <c r="C1" s="395"/>
      <c r="D1" s="395"/>
      <c r="E1" s="395"/>
      <c r="F1" s="395"/>
      <c r="G1" s="395"/>
      <c r="H1" s="395"/>
      <c r="I1" s="395"/>
      <c r="J1" s="395"/>
      <c r="K1" s="395"/>
      <c r="L1" s="395"/>
    </row>
    <row r="2" spans="1:37" s="106" customFormat="1" ht="22.5" customHeight="1" x14ac:dyDescent="0.2">
      <c r="A2" s="399" t="s">
        <v>1</v>
      </c>
      <c r="B2" s="380" t="s">
        <v>2</v>
      </c>
      <c r="C2" s="380" t="s">
        <v>3</v>
      </c>
      <c r="D2" s="380"/>
      <c r="E2" s="402" t="s">
        <v>69</v>
      </c>
      <c r="F2" s="380" t="s">
        <v>4</v>
      </c>
      <c r="G2" s="393" t="s">
        <v>854</v>
      </c>
      <c r="H2" s="393" t="s">
        <v>855</v>
      </c>
      <c r="I2" s="393" t="s">
        <v>856</v>
      </c>
      <c r="J2" s="393" t="s">
        <v>5</v>
      </c>
      <c r="K2" s="393"/>
      <c r="L2" s="393"/>
    </row>
    <row r="3" spans="1:37" s="106" customFormat="1" ht="11.25" x14ac:dyDescent="0.2">
      <c r="A3" s="400"/>
      <c r="B3" s="380"/>
      <c r="C3" s="380" t="s">
        <v>6</v>
      </c>
      <c r="D3" s="380" t="s">
        <v>9</v>
      </c>
      <c r="E3" s="402"/>
      <c r="F3" s="380"/>
      <c r="G3" s="393"/>
      <c r="H3" s="396"/>
      <c r="I3" s="396"/>
      <c r="J3" s="393" t="s">
        <v>857</v>
      </c>
      <c r="K3" s="393" t="s">
        <v>858</v>
      </c>
      <c r="L3" s="393" t="s">
        <v>859</v>
      </c>
    </row>
    <row r="4" spans="1:37" s="106" customFormat="1" ht="117.75" customHeight="1" x14ac:dyDescent="0.2">
      <c r="A4" s="401"/>
      <c r="B4" s="380"/>
      <c r="C4" s="380"/>
      <c r="D4" s="397"/>
      <c r="E4" s="402"/>
      <c r="F4" s="380"/>
      <c r="G4" s="393"/>
      <c r="H4" s="396"/>
      <c r="I4" s="396"/>
      <c r="J4" s="398"/>
      <c r="K4" s="393"/>
      <c r="L4" s="393"/>
    </row>
    <row r="5" spans="1:37" x14ac:dyDescent="0.25">
      <c r="A5" s="211">
        <v>1</v>
      </c>
      <c r="B5" s="211">
        <v>1</v>
      </c>
      <c r="C5" s="211">
        <v>2</v>
      </c>
      <c r="D5" s="211">
        <v>3</v>
      </c>
      <c r="E5" s="19">
        <v>4</v>
      </c>
      <c r="F5" s="211">
        <v>5</v>
      </c>
      <c r="G5" s="296">
        <v>6</v>
      </c>
      <c r="H5" s="296">
        <v>7</v>
      </c>
      <c r="I5" s="296">
        <v>8</v>
      </c>
      <c r="J5" s="296">
        <v>9</v>
      </c>
      <c r="K5" s="296">
        <v>10</v>
      </c>
      <c r="L5" s="296">
        <v>11</v>
      </c>
      <c r="M5" s="268"/>
      <c r="N5" s="269"/>
      <c r="O5" s="164"/>
      <c r="P5" s="164"/>
    </row>
    <row r="6" spans="1:37" s="111" customFormat="1" ht="28.5" x14ac:dyDescent="0.25">
      <c r="A6" s="107"/>
      <c r="B6" s="108" t="s">
        <v>7</v>
      </c>
      <c r="C6" s="109"/>
      <c r="D6" s="109"/>
      <c r="E6" s="130"/>
      <c r="F6" s="241" t="s">
        <v>13</v>
      </c>
      <c r="G6" s="246">
        <f t="shared" ref="G6:L6" si="0">G7+G121</f>
        <v>1545779.9000000001</v>
      </c>
      <c r="H6" s="246">
        <f t="shared" si="0"/>
        <v>1168745</v>
      </c>
      <c r="I6" s="246">
        <f t="shared" si="0"/>
        <v>1555988.4</v>
      </c>
      <c r="J6" s="246">
        <f t="shared" si="0"/>
        <v>1409160.5</v>
      </c>
      <c r="K6" s="246">
        <f t="shared" si="0"/>
        <v>1214735.8</v>
      </c>
      <c r="L6" s="246">
        <f t="shared" si="0"/>
        <v>1228937</v>
      </c>
      <c r="M6" s="216">
        <v>1545779.9</v>
      </c>
      <c r="N6" s="287">
        <v>1168745</v>
      </c>
      <c r="O6" s="293">
        <v>1555988.4</v>
      </c>
      <c r="P6" s="293">
        <v>1409160.5</v>
      </c>
      <c r="Q6" s="294">
        <v>1214735.8</v>
      </c>
      <c r="R6" s="293">
        <v>1228937</v>
      </c>
      <c r="S6" s="216"/>
      <c r="T6" s="216"/>
      <c r="U6" s="216"/>
      <c r="V6" s="216"/>
      <c r="W6" s="216"/>
      <c r="X6" s="216"/>
      <c r="Y6" s="216"/>
      <c r="Z6" s="216"/>
      <c r="AA6" s="216"/>
      <c r="AB6" s="216"/>
      <c r="AC6" s="216"/>
      <c r="AD6" s="216"/>
      <c r="AE6" s="216"/>
      <c r="AF6" s="216"/>
      <c r="AG6" s="216"/>
      <c r="AH6" s="216"/>
      <c r="AI6" s="216"/>
      <c r="AJ6" s="216"/>
      <c r="AK6" s="216"/>
    </row>
    <row r="7" spans="1:37" ht="28.5" x14ac:dyDescent="0.25">
      <c r="A7" s="112"/>
      <c r="B7" s="113" t="s">
        <v>8</v>
      </c>
      <c r="C7" s="113" t="s">
        <v>77</v>
      </c>
      <c r="D7" s="113" t="s">
        <v>8</v>
      </c>
      <c r="E7" s="126"/>
      <c r="F7" s="242" t="s">
        <v>14</v>
      </c>
      <c r="G7" s="247">
        <f t="shared" ref="G7:L7" si="1">G8+G41</f>
        <v>299171.40000000008</v>
      </c>
      <c r="H7" s="247">
        <f t="shared" si="1"/>
        <v>244164.80000000005</v>
      </c>
      <c r="I7" s="247">
        <f t="shared" si="1"/>
        <v>309379.90000000002</v>
      </c>
      <c r="J7" s="247">
        <f t="shared" si="1"/>
        <v>326221.3</v>
      </c>
      <c r="K7" s="247">
        <f t="shared" si="1"/>
        <v>352509.90000000008</v>
      </c>
      <c r="L7" s="247">
        <f t="shared" si="1"/>
        <v>385901.49999999994</v>
      </c>
      <c r="M7" s="64">
        <f>SUM(G6-M6)</f>
        <v>2.3283064365386963E-10</v>
      </c>
      <c r="N7" s="64">
        <f t="shared" ref="N7:R7" si="2">SUM(H6-N6)</f>
        <v>0</v>
      </c>
      <c r="O7" s="64">
        <f t="shared" si="2"/>
        <v>0</v>
      </c>
      <c r="P7" s="64">
        <f t="shared" si="2"/>
        <v>0</v>
      </c>
      <c r="Q7" s="64">
        <f t="shared" si="2"/>
        <v>0</v>
      </c>
      <c r="R7" s="64">
        <f t="shared" si="2"/>
        <v>0</v>
      </c>
    </row>
    <row r="8" spans="1:37" s="17" customFormat="1" x14ac:dyDescent="0.25">
      <c r="A8" s="207"/>
      <c r="B8" s="205" t="s">
        <v>10</v>
      </c>
      <c r="C8" s="205"/>
      <c r="D8" s="205" t="s">
        <v>824</v>
      </c>
      <c r="E8" s="208"/>
      <c r="F8" s="243" t="s">
        <v>15</v>
      </c>
      <c r="G8" s="248">
        <f>G9+G16+G22+G38+G32</f>
        <v>259196.70000000007</v>
      </c>
      <c r="H8" s="248">
        <f t="shared" ref="H8:L8" si="3">H9+H16+H22+H38+H32</f>
        <v>211109.90000000005</v>
      </c>
      <c r="I8" s="248">
        <f t="shared" si="3"/>
        <v>269182.30000000005</v>
      </c>
      <c r="J8" s="248">
        <f t="shared" si="3"/>
        <v>293250.5</v>
      </c>
      <c r="K8" s="248">
        <f t="shared" si="3"/>
        <v>318556.40000000008</v>
      </c>
      <c r="L8" s="248">
        <f t="shared" si="3"/>
        <v>350892.29999999993</v>
      </c>
      <c r="M8" s="209"/>
      <c r="N8" s="287"/>
    </row>
    <row r="9" spans="1:37" s="8" customFormat="1" x14ac:dyDescent="0.25">
      <c r="A9" s="6"/>
      <c r="B9" s="3" t="s">
        <v>11</v>
      </c>
      <c r="C9" s="3" t="s">
        <v>78</v>
      </c>
      <c r="D9" s="3" t="s">
        <v>79</v>
      </c>
      <c r="E9" s="20"/>
      <c r="F9" s="225" t="s">
        <v>16</v>
      </c>
      <c r="G9" s="249">
        <f>G10</f>
        <v>190928.00000000003</v>
      </c>
      <c r="H9" s="249">
        <f t="shared" ref="H9:L9" si="4">H10</f>
        <v>151341.70000000004</v>
      </c>
      <c r="I9" s="250">
        <f t="shared" si="4"/>
        <v>192031.50000000003</v>
      </c>
      <c r="J9" s="249">
        <f t="shared" si="4"/>
        <v>212235.3</v>
      </c>
      <c r="K9" s="249">
        <f t="shared" si="4"/>
        <v>234349.10000000003</v>
      </c>
      <c r="L9" s="249">
        <f t="shared" si="4"/>
        <v>253682.5</v>
      </c>
    </row>
    <row r="10" spans="1:37" s="8" customFormat="1" ht="30" x14ac:dyDescent="0.25">
      <c r="A10" s="6"/>
      <c r="B10" s="9" t="s">
        <v>12</v>
      </c>
      <c r="C10" s="221" t="s">
        <v>68</v>
      </c>
      <c r="D10" s="221" t="s">
        <v>12</v>
      </c>
      <c r="E10" s="222"/>
      <c r="F10" s="225" t="s">
        <v>17</v>
      </c>
      <c r="G10" s="251">
        <f>SUM(G11:G15)</f>
        <v>190928.00000000003</v>
      </c>
      <c r="H10" s="251">
        <f t="shared" ref="H10:L10" si="5">SUM(H11:H15)</f>
        <v>151341.70000000004</v>
      </c>
      <c r="I10" s="252">
        <f t="shared" si="5"/>
        <v>192031.50000000003</v>
      </c>
      <c r="J10" s="252">
        <f t="shared" si="5"/>
        <v>212235.3</v>
      </c>
      <c r="K10" s="252">
        <f t="shared" si="5"/>
        <v>234349.10000000003</v>
      </c>
      <c r="L10" s="252">
        <f t="shared" si="5"/>
        <v>253682.5</v>
      </c>
      <c r="M10" s="203"/>
      <c r="N10" s="203"/>
    </row>
    <row r="11" spans="1:37" ht="120" x14ac:dyDescent="0.25">
      <c r="A11" s="211"/>
      <c r="B11" s="4"/>
      <c r="C11" s="223" t="s">
        <v>72</v>
      </c>
      <c r="D11" s="235" t="s">
        <v>952</v>
      </c>
      <c r="E11" s="224" t="s">
        <v>939</v>
      </c>
      <c r="F11" s="225" t="s">
        <v>18</v>
      </c>
      <c r="G11" s="253">
        <v>183878.2</v>
      </c>
      <c r="H11" s="253">
        <v>144295.1</v>
      </c>
      <c r="I11" s="254">
        <v>184889.2</v>
      </c>
      <c r="J11" s="254">
        <v>203873.3</v>
      </c>
      <c r="K11" s="254">
        <v>225115.7</v>
      </c>
      <c r="L11" s="254">
        <v>242038.5</v>
      </c>
      <c r="P11" s="64"/>
    </row>
    <row r="12" spans="1:37" ht="116.25" customHeight="1" x14ac:dyDescent="0.25">
      <c r="A12" s="214"/>
      <c r="B12" s="4"/>
      <c r="C12" s="223" t="s">
        <v>74</v>
      </c>
      <c r="D12" s="235" t="s">
        <v>953</v>
      </c>
      <c r="E12" s="224" t="s">
        <v>71</v>
      </c>
      <c r="F12" s="225" t="s">
        <v>19</v>
      </c>
      <c r="G12" s="253">
        <v>450.6</v>
      </c>
      <c r="H12" s="253">
        <v>450.6</v>
      </c>
      <c r="I12" s="254">
        <v>450.6</v>
      </c>
      <c r="J12" s="254">
        <v>636.70000000000005</v>
      </c>
      <c r="K12" s="254">
        <v>703.1</v>
      </c>
      <c r="L12" s="254">
        <v>761.1</v>
      </c>
      <c r="P12" s="64"/>
    </row>
    <row r="13" spans="1:37" ht="90" x14ac:dyDescent="0.25">
      <c r="A13" s="214"/>
      <c r="B13" s="4"/>
      <c r="C13" s="223" t="s">
        <v>76</v>
      </c>
      <c r="D13" s="235" t="s">
        <v>954</v>
      </c>
      <c r="E13" s="224" t="s">
        <v>71</v>
      </c>
      <c r="F13" s="225" t="s">
        <v>20</v>
      </c>
      <c r="G13" s="270">
        <v>4789.1000000000004</v>
      </c>
      <c r="H13" s="253">
        <v>4789.1000000000004</v>
      </c>
      <c r="I13" s="254">
        <v>4789.1000000000004</v>
      </c>
      <c r="J13" s="254">
        <v>4968.2</v>
      </c>
      <c r="K13" s="254">
        <v>5654.7</v>
      </c>
      <c r="L13" s="254">
        <v>7860.9</v>
      </c>
      <c r="P13" s="64"/>
    </row>
    <row r="14" spans="1:37" ht="90" x14ac:dyDescent="0.25">
      <c r="A14" s="211"/>
      <c r="B14" s="4"/>
      <c r="C14" s="223" t="s">
        <v>305</v>
      </c>
      <c r="D14" s="235" t="s">
        <v>304</v>
      </c>
      <c r="E14" s="224" t="s">
        <v>71</v>
      </c>
      <c r="F14" s="225" t="s">
        <v>278</v>
      </c>
      <c r="G14" s="253">
        <v>1697.9</v>
      </c>
      <c r="H14" s="253">
        <v>1711.2</v>
      </c>
      <c r="I14" s="254">
        <v>1806.9</v>
      </c>
      <c r="J14" s="254">
        <v>2629.8</v>
      </c>
      <c r="K14" s="254">
        <v>2735</v>
      </c>
      <c r="L14" s="254">
        <v>2844.4</v>
      </c>
    </row>
    <row r="15" spans="1:37" ht="75" x14ac:dyDescent="0.25">
      <c r="A15" s="214"/>
      <c r="B15" s="4"/>
      <c r="C15" s="223" t="s">
        <v>840</v>
      </c>
      <c r="D15" s="235" t="s">
        <v>955</v>
      </c>
      <c r="E15" s="224" t="s">
        <v>71</v>
      </c>
      <c r="F15" s="225" t="s">
        <v>21</v>
      </c>
      <c r="G15" s="253">
        <v>112.2</v>
      </c>
      <c r="H15" s="253">
        <v>95.7</v>
      </c>
      <c r="I15" s="254">
        <f>H15</f>
        <v>95.7</v>
      </c>
      <c r="J15" s="254">
        <v>127.3</v>
      </c>
      <c r="K15" s="254">
        <v>140.6</v>
      </c>
      <c r="L15" s="254">
        <v>177.6</v>
      </c>
    </row>
    <row r="16" spans="1:37" s="8" customFormat="1" ht="57" x14ac:dyDescent="0.25">
      <c r="A16" s="6"/>
      <c r="B16" s="3" t="s">
        <v>660</v>
      </c>
      <c r="C16" s="226" t="s">
        <v>661</v>
      </c>
      <c r="D16" s="226" t="s">
        <v>662</v>
      </c>
      <c r="E16" s="227"/>
      <c r="F16" s="225" t="s">
        <v>22</v>
      </c>
      <c r="G16" s="255">
        <f>G17</f>
        <v>24790.7</v>
      </c>
      <c r="H16" s="255">
        <f t="shared" ref="H16:L16" si="6">H17</f>
        <v>22195.599999999999</v>
      </c>
      <c r="I16" s="250">
        <f t="shared" si="6"/>
        <v>26087.599999999999</v>
      </c>
      <c r="J16" s="250">
        <f t="shared" si="6"/>
        <v>28142.5</v>
      </c>
      <c r="K16" s="250">
        <f t="shared" si="6"/>
        <v>30021.499999999996</v>
      </c>
      <c r="L16" s="250">
        <f t="shared" si="6"/>
        <v>39984.6</v>
      </c>
    </row>
    <row r="17" spans="1:14" s="17" customFormat="1" ht="75" x14ac:dyDescent="0.25">
      <c r="A17" s="30"/>
      <c r="B17" s="9" t="s">
        <v>658</v>
      </c>
      <c r="C17" s="221" t="s">
        <v>659</v>
      </c>
      <c r="D17" s="221" t="s">
        <v>658</v>
      </c>
      <c r="E17" s="222"/>
      <c r="F17" s="225" t="s">
        <v>23</v>
      </c>
      <c r="G17" s="251">
        <f>SUM(G18:G21)</f>
        <v>24790.7</v>
      </c>
      <c r="H17" s="251">
        <f t="shared" ref="H17:L17" si="7">SUM(H18:H21)</f>
        <v>22195.599999999999</v>
      </c>
      <c r="I17" s="252">
        <f t="shared" si="7"/>
        <v>26087.599999999999</v>
      </c>
      <c r="J17" s="252">
        <f t="shared" si="7"/>
        <v>28142.5</v>
      </c>
      <c r="K17" s="252">
        <f t="shared" si="7"/>
        <v>30021.499999999996</v>
      </c>
      <c r="L17" s="252">
        <f t="shared" si="7"/>
        <v>39984.6</v>
      </c>
    </row>
    <row r="18" spans="1:14" ht="120" x14ac:dyDescent="0.25">
      <c r="A18" s="211"/>
      <c r="B18" s="4"/>
      <c r="C18" s="223" t="s">
        <v>931</v>
      </c>
      <c r="D18" s="271" t="s">
        <v>932</v>
      </c>
      <c r="E18" s="224" t="s">
        <v>939</v>
      </c>
      <c r="F18" s="225" t="s">
        <v>24</v>
      </c>
      <c r="G18" s="253">
        <v>11820.2</v>
      </c>
      <c r="H18" s="253">
        <v>11492.4</v>
      </c>
      <c r="I18" s="254">
        <f>SUM(G18+1296.9)</f>
        <v>13117.1</v>
      </c>
      <c r="J18" s="254">
        <v>14718.5</v>
      </c>
      <c r="K18" s="254">
        <v>15716.3</v>
      </c>
      <c r="L18" s="254">
        <v>20900</v>
      </c>
    </row>
    <row r="19" spans="1:14" ht="135" x14ac:dyDescent="0.25">
      <c r="A19" s="211"/>
      <c r="B19" s="4"/>
      <c r="C19" s="223" t="s">
        <v>936</v>
      </c>
      <c r="D19" s="271" t="s">
        <v>933</v>
      </c>
      <c r="E19" s="224" t="s">
        <v>939</v>
      </c>
      <c r="F19" s="225" t="s">
        <v>25</v>
      </c>
      <c r="G19" s="253">
        <v>81.8</v>
      </c>
      <c r="H19" s="253">
        <v>66.400000000000006</v>
      </c>
      <c r="I19" s="254">
        <f t="shared" ref="I19:I21" si="8">SUM(G19)</f>
        <v>81.8</v>
      </c>
      <c r="J19" s="254">
        <v>67.5</v>
      </c>
      <c r="K19" s="254">
        <v>72.099999999999994</v>
      </c>
      <c r="L19" s="254">
        <v>96</v>
      </c>
    </row>
    <row r="20" spans="1:14" ht="120" x14ac:dyDescent="0.25">
      <c r="A20" s="211"/>
      <c r="B20" s="4"/>
      <c r="C20" s="223" t="s">
        <v>937</v>
      </c>
      <c r="D20" s="271" t="s">
        <v>934</v>
      </c>
      <c r="E20" s="224" t="s">
        <v>939</v>
      </c>
      <c r="F20" s="225" t="s">
        <v>26</v>
      </c>
      <c r="G20" s="253">
        <v>14423.2</v>
      </c>
      <c r="H20" s="253">
        <v>11915.8</v>
      </c>
      <c r="I20" s="254">
        <f t="shared" si="8"/>
        <v>14423.2</v>
      </c>
      <c r="J20" s="254">
        <v>14864.9</v>
      </c>
      <c r="K20" s="254">
        <v>15797.3</v>
      </c>
      <c r="L20" s="254">
        <v>20991.9</v>
      </c>
    </row>
    <row r="21" spans="1:14" ht="120" x14ac:dyDescent="0.25">
      <c r="A21" s="211"/>
      <c r="B21" s="4"/>
      <c r="C21" s="223" t="s">
        <v>938</v>
      </c>
      <c r="D21" s="271" t="s">
        <v>935</v>
      </c>
      <c r="E21" s="224" t="s">
        <v>939</v>
      </c>
      <c r="F21" s="225" t="s">
        <v>27</v>
      </c>
      <c r="G21" s="253">
        <v>-1534.5</v>
      </c>
      <c r="H21" s="253">
        <v>-1279</v>
      </c>
      <c r="I21" s="254">
        <f t="shared" si="8"/>
        <v>-1534.5</v>
      </c>
      <c r="J21" s="254">
        <v>-1508.4</v>
      </c>
      <c r="K21" s="254">
        <v>-1564.2</v>
      </c>
      <c r="L21" s="254">
        <v>-2003.3</v>
      </c>
    </row>
    <row r="22" spans="1:14" ht="29.25" x14ac:dyDescent="0.25">
      <c r="A22" s="10"/>
      <c r="B22" s="12" t="s">
        <v>80</v>
      </c>
      <c r="C22" s="228" t="s">
        <v>81</v>
      </c>
      <c r="D22" s="229" t="s">
        <v>82</v>
      </c>
      <c r="E22" s="230"/>
      <c r="F22" s="225" t="s">
        <v>28</v>
      </c>
      <c r="G22" s="256">
        <f t="shared" ref="G22:L22" si="9">G26+G28+G30+G23</f>
        <v>21035.200000000001</v>
      </c>
      <c r="H22" s="256">
        <f t="shared" si="9"/>
        <v>24541.8</v>
      </c>
      <c r="I22" s="257">
        <f t="shared" si="9"/>
        <v>28245.9</v>
      </c>
      <c r="J22" s="257">
        <f t="shared" si="9"/>
        <v>25995.199999999997</v>
      </c>
      <c r="K22" s="257">
        <f t="shared" si="9"/>
        <v>26151.7</v>
      </c>
      <c r="L22" s="257">
        <f t="shared" si="9"/>
        <v>27981.100000000002</v>
      </c>
    </row>
    <row r="23" spans="1:14" ht="45" x14ac:dyDescent="0.25">
      <c r="A23" s="10"/>
      <c r="B23" s="15" t="s">
        <v>275</v>
      </c>
      <c r="C23" s="231" t="s">
        <v>276</v>
      </c>
      <c r="D23" s="232" t="s">
        <v>275</v>
      </c>
      <c r="E23" s="230"/>
      <c r="F23" s="225" t="s">
        <v>29</v>
      </c>
      <c r="G23" s="258">
        <f>G24+G25</f>
        <v>18394.2</v>
      </c>
      <c r="H23" s="258">
        <f t="shared" ref="H23:L23" si="10">H24+H25</f>
        <v>21900.2</v>
      </c>
      <c r="I23" s="259">
        <f t="shared" si="10"/>
        <v>24357.7</v>
      </c>
      <c r="J23" s="259">
        <f t="shared" si="10"/>
        <v>21857.3</v>
      </c>
      <c r="K23" s="259">
        <f t="shared" si="10"/>
        <v>23409.200000000001</v>
      </c>
      <c r="L23" s="259">
        <f t="shared" si="10"/>
        <v>25164.9</v>
      </c>
      <c r="M23" s="164"/>
      <c r="N23" s="164"/>
    </row>
    <row r="24" spans="1:14" ht="45" x14ac:dyDescent="0.25">
      <c r="A24" s="10"/>
      <c r="B24" s="12"/>
      <c r="C24" s="233" t="s">
        <v>277</v>
      </c>
      <c r="D24" s="235" t="s">
        <v>956</v>
      </c>
      <c r="E24" s="224" t="s">
        <v>71</v>
      </c>
      <c r="F24" s="225" t="s">
        <v>30</v>
      </c>
      <c r="G24" s="260">
        <v>18394.2</v>
      </c>
      <c r="H24" s="260">
        <v>15630.2</v>
      </c>
      <c r="I24" s="261">
        <f>SUM(G24-306.5)</f>
        <v>18087.7</v>
      </c>
      <c r="J24" s="261">
        <v>15606.1</v>
      </c>
      <c r="K24" s="261">
        <v>16714.2</v>
      </c>
      <c r="L24" s="261">
        <v>17967.7</v>
      </c>
    </row>
    <row r="25" spans="1:14" ht="75" x14ac:dyDescent="0.25">
      <c r="A25" s="10"/>
      <c r="B25" s="12"/>
      <c r="C25" s="233" t="s">
        <v>309</v>
      </c>
      <c r="D25" s="235" t="s">
        <v>308</v>
      </c>
      <c r="E25" s="224" t="s">
        <v>71</v>
      </c>
      <c r="F25" s="225" t="s">
        <v>31</v>
      </c>
      <c r="G25" s="260">
        <v>0</v>
      </c>
      <c r="H25" s="260">
        <v>6270</v>
      </c>
      <c r="I25" s="261">
        <v>6270</v>
      </c>
      <c r="J25" s="261">
        <v>6251.2</v>
      </c>
      <c r="K25" s="261">
        <v>6695</v>
      </c>
      <c r="L25" s="261">
        <v>7197.2</v>
      </c>
    </row>
    <row r="26" spans="1:14" s="17" customFormat="1" ht="45" x14ac:dyDescent="0.25">
      <c r="A26" s="16"/>
      <c r="B26" s="15" t="s">
        <v>101</v>
      </c>
      <c r="C26" s="231" t="s">
        <v>85</v>
      </c>
      <c r="D26" s="232" t="s">
        <v>101</v>
      </c>
      <c r="E26" s="234"/>
      <c r="F26" s="225" t="s">
        <v>32</v>
      </c>
      <c r="G26" s="258">
        <f>G27</f>
        <v>4.3</v>
      </c>
      <c r="H26" s="258">
        <f t="shared" ref="H26:L26" si="11">H27</f>
        <v>4.3</v>
      </c>
      <c r="I26" s="261">
        <f t="shared" ref="I26:I27" si="12">SUM(G26)</f>
        <v>4.3</v>
      </c>
      <c r="J26" s="259">
        <f t="shared" si="11"/>
        <v>0</v>
      </c>
      <c r="K26" s="259">
        <f t="shared" si="11"/>
        <v>0</v>
      </c>
      <c r="L26" s="259">
        <f t="shared" si="11"/>
        <v>0</v>
      </c>
    </row>
    <row r="27" spans="1:14" ht="45" x14ac:dyDescent="0.25">
      <c r="A27" s="10"/>
      <c r="B27" s="10"/>
      <c r="C27" s="233" t="s">
        <v>84</v>
      </c>
      <c r="D27" s="235" t="s">
        <v>101</v>
      </c>
      <c r="E27" s="224" t="s">
        <v>71</v>
      </c>
      <c r="F27" s="225" t="s">
        <v>33</v>
      </c>
      <c r="G27" s="253">
        <v>4.3</v>
      </c>
      <c r="H27" s="253">
        <v>4.3</v>
      </c>
      <c r="I27" s="261">
        <f t="shared" si="12"/>
        <v>4.3</v>
      </c>
      <c r="J27" s="261">
        <v>0</v>
      </c>
      <c r="K27" s="261">
        <v>0</v>
      </c>
      <c r="L27" s="261">
        <v>0</v>
      </c>
    </row>
    <row r="28" spans="1:14" s="17" customFormat="1" ht="45" x14ac:dyDescent="0.25">
      <c r="A28" s="16"/>
      <c r="B28" s="15" t="s">
        <v>86</v>
      </c>
      <c r="C28" s="231" t="s">
        <v>87</v>
      </c>
      <c r="D28" s="232" t="s">
        <v>86</v>
      </c>
      <c r="E28" s="234"/>
      <c r="F28" s="225" t="s">
        <v>34</v>
      </c>
      <c r="G28" s="258">
        <f>G29</f>
        <v>26.1</v>
      </c>
      <c r="H28" s="258">
        <f t="shared" ref="H28:L28" si="13">H29</f>
        <v>26.1</v>
      </c>
      <c r="I28" s="259">
        <f t="shared" si="13"/>
        <v>26.1</v>
      </c>
      <c r="J28" s="259">
        <f t="shared" si="13"/>
        <v>15</v>
      </c>
      <c r="K28" s="259">
        <f t="shared" si="13"/>
        <v>15.1</v>
      </c>
      <c r="L28" s="259">
        <f t="shared" si="13"/>
        <v>15.2</v>
      </c>
    </row>
    <row r="29" spans="1:14" ht="45" x14ac:dyDescent="0.25">
      <c r="A29" s="10"/>
      <c r="B29" s="11"/>
      <c r="C29" s="233" t="s">
        <v>88</v>
      </c>
      <c r="D29" s="235" t="s">
        <v>86</v>
      </c>
      <c r="E29" s="224" t="s">
        <v>71</v>
      </c>
      <c r="F29" s="225" t="s">
        <v>35</v>
      </c>
      <c r="G29" s="253">
        <v>26.1</v>
      </c>
      <c r="H29" s="253">
        <v>26.1</v>
      </c>
      <c r="I29" s="254">
        <f>SUM(G29)</f>
        <v>26.1</v>
      </c>
      <c r="J29" s="261">
        <v>15</v>
      </c>
      <c r="K29" s="254">
        <v>15.1</v>
      </c>
      <c r="L29" s="254">
        <v>15.2</v>
      </c>
    </row>
    <row r="30" spans="1:14" s="17" customFormat="1" ht="45" x14ac:dyDescent="0.25">
      <c r="A30" s="16"/>
      <c r="B30" s="15" t="s">
        <v>89</v>
      </c>
      <c r="C30" s="231" t="s">
        <v>90</v>
      </c>
      <c r="D30" s="232" t="s">
        <v>89</v>
      </c>
      <c r="E30" s="234"/>
      <c r="F30" s="225" t="s">
        <v>36</v>
      </c>
      <c r="G30" s="258">
        <f>G31</f>
        <v>2610.6</v>
      </c>
      <c r="H30" s="258">
        <f t="shared" ref="H30:L30" si="14">H31</f>
        <v>2611.1999999999998</v>
      </c>
      <c r="I30" s="259">
        <f t="shared" si="14"/>
        <v>3857.8</v>
      </c>
      <c r="J30" s="259">
        <f t="shared" si="14"/>
        <v>4122.8999999999996</v>
      </c>
      <c r="K30" s="259">
        <f t="shared" si="14"/>
        <v>2727.4</v>
      </c>
      <c r="L30" s="259">
        <f t="shared" si="14"/>
        <v>2801</v>
      </c>
    </row>
    <row r="31" spans="1:14" ht="45" x14ac:dyDescent="0.25">
      <c r="A31" s="10"/>
      <c r="B31" s="11"/>
      <c r="C31" s="235" t="s">
        <v>958</v>
      </c>
      <c r="D31" s="235" t="s">
        <v>957</v>
      </c>
      <c r="E31" s="224" t="s">
        <v>71</v>
      </c>
      <c r="F31" s="225" t="s">
        <v>37</v>
      </c>
      <c r="G31" s="253">
        <v>2610.6</v>
      </c>
      <c r="H31" s="253">
        <v>2611.1999999999998</v>
      </c>
      <c r="I31" s="254">
        <v>3857.8</v>
      </c>
      <c r="J31" s="254">
        <v>4122.8999999999996</v>
      </c>
      <c r="K31" s="254">
        <v>2727.4</v>
      </c>
      <c r="L31" s="254">
        <v>2801</v>
      </c>
    </row>
    <row r="32" spans="1:14" s="8" customFormat="1" x14ac:dyDescent="0.25">
      <c r="A32" s="13"/>
      <c r="B32" s="12" t="s">
        <v>672</v>
      </c>
      <c r="C32" s="228" t="s">
        <v>673</v>
      </c>
      <c r="D32" s="229" t="s">
        <v>674</v>
      </c>
      <c r="E32" s="227"/>
      <c r="F32" s="225" t="s">
        <v>38</v>
      </c>
      <c r="G32" s="255">
        <f>G33+G35</f>
        <v>20473.300000000003</v>
      </c>
      <c r="H32" s="255">
        <f t="shared" ref="H32:L32" si="15">H33+H35</f>
        <v>10748.2</v>
      </c>
      <c r="I32" s="250">
        <f t="shared" si="15"/>
        <v>20349.5</v>
      </c>
      <c r="J32" s="250">
        <f t="shared" si="15"/>
        <v>20689.3</v>
      </c>
      <c r="K32" s="250">
        <f t="shared" si="15"/>
        <v>21691.200000000001</v>
      </c>
      <c r="L32" s="250">
        <f t="shared" si="15"/>
        <v>22742.6</v>
      </c>
    </row>
    <row r="33" spans="1:16" s="17" customFormat="1" x14ac:dyDescent="0.25">
      <c r="A33" s="16"/>
      <c r="B33" s="15"/>
      <c r="C33" s="231" t="s">
        <v>675</v>
      </c>
      <c r="D33" s="232" t="s">
        <v>676</v>
      </c>
      <c r="E33" s="222"/>
      <c r="F33" s="225" t="s">
        <v>39</v>
      </c>
      <c r="G33" s="251">
        <f>G34</f>
        <v>9007.2000000000007</v>
      </c>
      <c r="H33" s="251">
        <f t="shared" ref="H33:L33" si="16">H34</f>
        <v>4323.5</v>
      </c>
      <c r="I33" s="252">
        <f t="shared" si="16"/>
        <v>9007.2000000000007</v>
      </c>
      <c r="J33" s="252">
        <f t="shared" si="16"/>
        <v>9189.2999999999993</v>
      </c>
      <c r="K33" s="252">
        <f t="shared" si="16"/>
        <v>9961.2000000000007</v>
      </c>
      <c r="L33" s="252">
        <f t="shared" si="16"/>
        <v>10778</v>
      </c>
    </row>
    <row r="34" spans="1:16" ht="45" x14ac:dyDescent="0.25">
      <c r="A34" s="10"/>
      <c r="B34" s="11"/>
      <c r="C34" s="233" t="s">
        <v>679</v>
      </c>
      <c r="D34" s="235" t="s">
        <v>684</v>
      </c>
      <c r="E34" s="224" t="s">
        <v>71</v>
      </c>
      <c r="F34" s="225" t="s">
        <v>279</v>
      </c>
      <c r="G34" s="253">
        <v>9007.2000000000007</v>
      </c>
      <c r="H34" s="253">
        <v>4323.5</v>
      </c>
      <c r="I34" s="254">
        <f>SUM(G34)</f>
        <v>9007.2000000000007</v>
      </c>
      <c r="J34" s="254">
        <v>9189.2999999999993</v>
      </c>
      <c r="K34" s="254">
        <v>9961.2000000000007</v>
      </c>
      <c r="L34" s="254">
        <v>10778</v>
      </c>
    </row>
    <row r="35" spans="1:16" s="17" customFormat="1" x14ac:dyDescent="0.25">
      <c r="A35" s="16"/>
      <c r="B35" s="15"/>
      <c r="C35" s="231" t="s">
        <v>677</v>
      </c>
      <c r="D35" s="232" t="s">
        <v>678</v>
      </c>
      <c r="E35" s="222"/>
      <c r="F35" s="225" t="s">
        <v>40</v>
      </c>
      <c r="G35" s="251">
        <f>G36+G37</f>
        <v>11466.1</v>
      </c>
      <c r="H35" s="251">
        <f t="shared" ref="H35:L35" si="17">H36+H37</f>
        <v>6424.7000000000007</v>
      </c>
      <c r="I35" s="252">
        <f t="shared" si="17"/>
        <v>11342.300000000001</v>
      </c>
      <c r="J35" s="252">
        <f t="shared" si="17"/>
        <v>11500</v>
      </c>
      <c r="K35" s="252">
        <f t="shared" si="17"/>
        <v>11730</v>
      </c>
      <c r="L35" s="252">
        <f t="shared" si="17"/>
        <v>11964.6</v>
      </c>
    </row>
    <row r="36" spans="1:16" ht="45" x14ac:dyDescent="0.25">
      <c r="A36" s="10"/>
      <c r="B36" s="11"/>
      <c r="C36" s="233" t="s">
        <v>680</v>
      </c>
      <c r="D36" s="235" t="s">
        <v>960</v>
      </c>
      <c r="E36" s="224" t="s">
        <v>71</v>
      </c>
      <c r="F36" s="225" t="s">
        <v>244</v>
      </c>
      <c r="G36" s="253">
        <v>1343.1</v>
      </c>
      <c r="H36" s="253">
        <v>1941.1</v>
      </c>
      <c r="I36" s="254">
        <f>SUM(G36)</f>
        <v>1343.1</v>
      </c>
      <c r="J36" s="254">
        <v>1617.6</v>
      </c>
      <c r="K36" s="254">
        <v>1642.2</v>
      </c>
      <c r="L36" s="254">
        <v>1675</v>
      </c>
    </row>
    <row r="37" spans="1:16" ht="45" x14ac:dyDescent="0.25">
      <c r="A37" s="10"/>
      <c r="B37" s="11"/>
      <c r="C37" s="233" t="s">
        <v>681</v>
      </c>
      <c r="D37" s="235" t="s">
        <v>959</v>
      </c>
      <c r="E37" s="224" t="s">
        <v>71</v>
      </c>
      <c r="F37" s="225" t="s">
        <v>245</v>
      </c>
      <c r="G37" s="253">
        <v>10123</v>
      </c>
      <c r="H37" s="253">
        <v>4483.6000000000004</v>
      </c>
      <c r="I37" s="254">
        <f>SUM(G37-123.8)</f>
        <v>9999.2000000000007</v>
      </c>
      <c r="J37" s="254">
        <v>9882.4</v>
      </c>
      <c r="K37" s="254">
        <v>10087.799999999999</v>
      </c>
      <c r="L37" s="254">
        <v>10289.6</v>
      </c>
    </row>
    <row r="38" spans="1:16" s="8" customFormat="1" x14ac:dyDescent="0.25">
      <c r="A38" s="13"/>
      <c r="B38" s="12" t="s">
        <v>93</v>
      </c>
      <c r="C38" s="228" t="s">
        <v>97</v>
      </c>
      <c r="D38" s="229" t="s">
        <v>94</v>
      </c>
      <c r="E38" s="236"/>
      <c r="F38" s="225" t="s">
        <v>41</v>
      </c>
      <c r="G38" s="256">
        <f>SUM(G39)</f>
        <v>1969.5</v>
      </c>
      <c r="H38" s="256">
        <f t="shared" ref="H38:L38" si="18">SUM(H39)</f>
        <v>2282.6</v>
      </c>
      <c r="I38" s="257">
        <f t="shared" si="18"/>
        <v>2467.8000000000002</v>
      </c>
      <c r="J38" s="257">
        <f t="shared" si="18"/>
        <v>6188.2</v>
      </c>
      <c r="K38" s="257">
        <f t="shared" si="18"/>
        <v>6342.9</v>
      </c>
      <c r="L38" s="257">
        <f t="shared" si="18"/>
        <v>6501.5</v>
      </c>
    </row>
    <row r="39" spans="1:16" s="17" customFormat="1" ht="32.25" customHeight="1" x14ac:dyDescent="0.25">
      <c r="A39" s="16"/>
      <c r="B39" s="15" t="s">
        <v>95</v>
      </c>
      <c r="C39" s="231" t="s">
        <v>102</v>
      </c>
      <c r="D39" s="232" t="s">
        <v>95</v>
      </c>
      <c r="E39" s="234"/>
      <c r="F39" s="225" t="s">
        <v>42</v>
      </c>
      <c r="G39" s="258">
        <f>G40</f>
        <v>1969.5</v>
      </c>
      <c r="H39" s="258">
        <f t="shared" ref="H39:L39" si="19">H40</f>
        <v>2282.6</v>
      </c>
      <c r="I39" s="259">
        <f t="shared" si="19"/>
        <v>2467.8000000000002</v>
      </c>
      <c r="J39" s="259">
        <f t="shared" si="19"/>
        <v>6188.2</v>
      </c>
      <c r="K39" s="259">
        <f t="shared" si="19"/>
        <v>6342.9</v>
      </c>
      <c r="L39" s="259">
        <f t="shared" si="19"/>
        <v>6501.5</v>
      </c>
    </row>
    <row r="40" spans="1:16" ht="45" x14ac:dyDescent="0.25">
      <c r="A40" s="10"/>
      <c r="B40" s="11"/>
      <c r="C40" s="233" t="s">
        <v>96</v>
      </c>
      <c r="D40" s="235" t="s">
        <v>95</v>
      </c>
      <c r="E40" s="224" t="s">
        <v>71</v>
      </c>
      <c r="F40" s="225" t="s">
        <v>43</v>
      </c>
      <c r="G40" s="253">
        <v>1969.5</v>
      </c>
      <c r="H40" s="253">
        <v>2282.6</v>
      </c>
      <c r="I40" s="254">
        <v>2467.8000000000002</v>
      </c>
      <c r="J40" s="254">
        <v>6188.2</v>
      </c>
      <c r="K40" s="254">
        <v>6342.9</v>
      </c>
      <c r="L40" s="254">
        <v>6501.5</v>
      </c>
      <c r="O40" s="64"/>
    </row>
    <row r="41" spans="1:16" s="8" customFormat="1" ht="29.25" x14ac:dyDescent="0.25">
      <c r="A41" s="119"/>
      <c r="B41" s="120" t="s">
        <v>112</v>
      </c>
      <c r="C41" s="119"/>
      <c r="D41" s="120" t="s">
        <v>1003</v>
      </c>
      <c r="E41" s="121"/>
      <c r="F41" s="243" t="s">
        <v>44</v>
      </c>
      <c r="G41" s="264">
        <f t="shared" ref="G41:L41" si="20">G42+G55+G59+G76+G84+G112</f>
        <v>39974.699999999997</v>
      </c>
      <c r="H41" s="264">
        <f t="shared" si="20"/>
        <v>33054.9</v>
      </c>
      <c r="I41" s="264">
        <f t="shared" si="20"/>
        <v>40197.599999999999</v>
      </c>
      <c r="J41" s="264">
        <f t="shared" si="20"/>
        <v>32970.799999999996</v>
      </c>
      <c r="K41" s="264">
        <f t="shared" si="20"/>
        <v>33953.5</v>
      </c>
      <c r="L41" s="264">
        <f t="shared" si="20"/>
        <v>35009.200000000004</v>
      </c>
      <c r="N41" s="203"/>
    </row>
    <row r="42" spans="1:16" s="8" customFormat="1" ht="72" x14ac:dyDescent="0.25">
      <c r="A42" s="13"/>
      <c r="B42" s="12" t="s">
        <v>113</v>
      </c>
      <c r="C42" s="228" t="s">
        <v>114</v>
      </c>
      <c r="D42" s="229" t="s">
        <v>115</v>
      </c>
      <c r="E42" s="227"/>
      <c r="F42" s="225" t="s">
        <v>45</v>
      </c>
      <c r="G42" s="256">
        <f t="shared" ref="G42:L42" si="21">G43+G51+G53</f>
        <v>14039.9</v>
      </c>
      <c r="H42" s="256">
        <f t="shared" si="21"/>
        <v>11395.800000000001</v>
      </c>
      <c r="I42" s="256">
        <f t="shared" si="21"/>
        <v>14694.300000000003</v>
      </c>
      <c r="J42" s="256">
        <f t="shared" si="21"/>
        <v>14500.400000000001</v>
      </c>
      <c r="K42" s="256">
        <f t="shared" si="21"/>
        <v>15080.300000000001</v>
      </c>
      <c r="L42" s="256">
        <f t="shared" si="21"/>
        <v>15683.5</v>
      </c>
      <c r="N42" s="203"/>
    </row>
    <row r="43" spans="1:16" s="17" customFormat="1" ht="105" x14ac:dyDescent="0.25">
      <c r="A43" s="16"/>
      <c r="B43" s="15" t="s">
        <v>130</v>
      </c>
      <c r="C43" s="231" t="s">
        <v>131</v>
      </c>
      <c r="D43" s="232" t="s">
        <v>989</v>
      </c>
      <c r="E43" s="222"/>
      <c r="F43" s="225" t="s">
        <v>605</v>
      </c>
      <c r="G43" s="258">
        <f>SUM(G44:G50)</f>
        <v>13732.9</v>
      </c>
      <c r="H43" s="258">
        <f t="shared" ref="H43:L43" si="22">SUM(H44:H50)</f>
        <v>11055.1</v>
      </c>
      <c r="I43" s="258">
        <f t="shared" si="22"/>
        <v>14353.600000000002</v>
      </c>
      <c r="J43" s="258">
        <f t="shared" si="22"/>
        <v>14189.2</v>
      </c>
      <c r="K43" s="258">
        <f t="shared" si="22"/>
        <v>14756.7</v>
      </c>
      <c r="L43" s="258">
        <f t="shared" si="22"/>
        <v>15347</v>
      </c>
      <c r="O43" s="245"/>
      <c r="P43" s="245"/>
    </row>
    <row r="44" spans="1:16" ht="90" x14ac:dyDescent="0.25">
      <c r="A44" s="10"/>
      <c r="B44" s="11"/>
      <c r="C44" s="233" t="s">
        <v>990</v>
      </c>
      <c r="D44" s="235" t="s">
        <v>689</v>
      </c>
      <c r="E44" s="224" t="s">
        <v>710</v>
      </c>
      <c r="F44" s="225" t="s">
        <v>606</v>
      </c>
      <c r="G44" s="253">
        <v>6560.2</v>
      </c>
      <c r="H44" s="253">
        <v>5707.9</v>
      </c>
      <c r="I44" s="254">
        <f>SUM(G44+881.8)</f>
        <v>7442</v>
      </c>
      <c r="J44" s="254">
        <v>7501.2</v>
      </c>
      <c r="K44" s="254">
        <v>7801.2</v>
      </c>
      <c r="L44" s="254">
        <v>8113.3</v>
      </c>
      <c r="M44" s="164"/>
      <c r="N44" s="288"/>
      <c r="O44" s="164"/>
    </row>
    <row r="45" spans="1:16" ht="90" x14ac:dyDescent="0.25">
      <c r="A45" s="10"/>
      <c r="B45" s="11"/>
      <c r="C45" s="233" t="s">
        <v>951</v>
      </c>
      <c r="D45" s="271" t="s">
        <v>689</v>
      </c>
      <c r="E45" s="224" t="s">
        <v>117</v>
      </c>
      <c r="F45" s="225" t="s">
        <v>46</v>
      </c>
      <c r="G45" s="253">
        <v>0</v>
      </c>
      <c r="H45" s="253">
        <v>21.7</v>
      </c>
      <c r="I45" s="254">
        <f>SUM(H45)</f>
        <v>21.7</v>
      </c>
      <c r="J45" s="254">
        <v>0</v>
      </c>
      <c r="K45" s="254">
        <v>0</v>
      </c>
      <c r="L45" s="254">
        <v>0</v>
      </c>
    </row>
    <row r="46" spans="1:16" ht="90" x14ac:dyDescent="0.25">
      <c r="A46" s="10"/>
      <c r="B46" s="11"/>
      <c r="C46" s="233" t="s">
        <v>690</v>
      </c>
      <c r="D46" s="235" t="s">
        <v>692</v>
      </c>
      <c r="E46" s="224" t="s">
        <v>710</v>
      </c>
      <c r="F46" s="225" t="s">
        <v>47</v>
      </c>
      <c r="G46" s="253">
        <v>483.5</v>
      </c>
      <c r="H46" s="253">
        <v>548.6</v>
      </c>
      <c r="I46" s="254">
        <f>SUM(H46)</f>
        <v>548.6</v>
      </c>
      <c r="J46" s="254">
        <v>652.29999999999995</v>
      </c>
      <c r="K46" s="254">
        <v>678.4</v>
      </c>
      <c r="L46" s="254">
        <v>705.5</v>
      </c>
    </row>
    <row r="47" spans="1:16" ht="75" x14ac:dyDescent="0.25">
      <c r="A47" s="10"/>
      <c r="B47" s="11"/>
      <c r="C47" s="233" t="s">
        <v>691</v>
      </c>
      <c r="D47" s="235" t="s">
        <v>693</v>
      </c>
      <c r="E47" s="224" t="s">
        <v>710</v>
      </c>
      <c r="F47" s="225" t="s">
        <v>48</v>
      </c>
      <c r="G47" s="253">
        <v>6513.5</v>
      </c>
      <c r="H47" s="253">
        <v>4600.2</v>
      </c>
      <c r="I47" s="253">
        <v>6164.6</v>
      </c>
      <c r="J47" s="254">
        <v>6035.7</v>
      </c>
      <c r="K47" s="254">
        <v>6277.1</v>
      </c>
      <c r="L47" s="254">
        <v>6528.2</v>
      </c>
    </row>
    <row r="48" spans="1:16" ht="123.75" customHeight="1" x14ac:dyDescent="0.25">
      <c r="A48" s="10"/>
      <c r="B48" s="11"/>
      <c r="C48" s="237" t="s">
        <v>841</v>
      </c>
      <c r="D48" s="235" t="s">
        <v>833</v>
      </c>
      <c r="E48" s="224" t="s">
        <v>732</v>
      </c>
      <c r="F48" s="225" t="s">
        <v>280</v>
      </c>
      <c r="G48" s="253">
        <v>0</v>
      </c>
      <c r="H48" s="253">
        <v>0.2</v>
      </c>
      <c r="I48" s="253">
        <f>SUM(H48)</f>
        <v>0.2</v>
      </c>
      <c r="J48" s="254">
        <v>0</v>
      </c>
      <c r="K48" s="254">
        <v>0</v>
      </c>
      <c r="L48" s="254">
        <v>0</v>
      </c>
      <c r="M48" s="164"/>
      <c r="N48" s="164"/>
    </row>
    <row r="49" spans="1:13" ht="123.75" customHeight="1" x14ac:dyDescent="0.25">
      <c r="A49" s="10"/>
      <c r="B49" s="11"/>
      <c r="C49" s="237" t="s">
        <v>834</v>
      </c>
      <c r="D49" s="235" t="s">
        <v>833</v>
      </c>
      <c r="E49" s="224" t="s">
        <v>710</v>
      </c>
      <c r="F49" s="225" t="s">
        <v>49</v>
      </c>
      <c r="G49" s="253">
        <v>65.8</v>
      </c>
      <c r="H49" s="253">
        <v>176.5</v>
      </c>
      <c r="I49" s="253">
        <f>H49</f>
        <v>176.5</v>
      </c>
      <c r="J49" s="254">
        <v>0</v>
      </c>
      <c r="K49" s="254">
        <v>0</v>
      </c>
      <c r="L49" s="254">
        <v>0</v>
      </c>
    </row>
    <row r="50" spans="1:13" ht="123.75" customHeight="1" x14ac:dyDescent="0.25">
      <c r="A50" s="10"/>
      <c r="B50" s="11"/>
      <c r="C50" s="237" t="s">
        <v>842</v>
      </c>
      <c r="D50" s="235" t="s">
        <v>843</v>
      </c>
      <c r="E50" s="224" t="s">
        <v>710</v>
      </c>
      <c r="F50" s="225" t="s">
        <v>607</v>
      </c>
      <c r="G50" s="253">
        <v>109.9</v>
      </c>
      <c r="H50" s="253">
        <v>0</v>
      </c>
      <c r="I50" s="253">
        <f>H50</f>
        <v>0</v>
      </c>
      <c r="J50" s="254">
        <v>0</v>
      </c>
      <c r="K50" s="254">
        <v>0</v>
      </c>
      <c r="L50" s="254">
        <v>0</v>
      </c>
      <c r="M50" s="164"/>
    </row>
    <row r="51" spans="1:13" s="17" customFormat="1" ht="60" x14ac:dyDescent="0.25">
      <c r="A51" s="16"/>
      <c r="B51" s="15" t="s">
        <v>132</v>
      </c>
      <c r="C51" s="231" t="s">
        <v>133</v>
      </c>
      <c r="D51" s="232" t="s">
        <v>132</v>
      </c>
      <c r="E51" s="222"/>
      <c r="F51" s="225" t="s">
        <v>50</v>
      </c>
      <c r="G51" s="251">
        <f>G52</f>
        <v>76.7</v>
      </c>
      <c r="H51" s="251">
        <f t="shared" ref="H51:L51" si="23">H52</f>
        <v>76.7</v>
      </c>
      <c r="I51" s="251">
        <f t="shared" si="23"/>
        <v>76.7</v>
      </c>
      <c r="J51" s="252">
        <f t="shared" si="23"/>
        <v>10.5</v>
      </c>
      <c r="K51" s="252">
        <f t="shared" si="23"/>
        <v>10.9</v>
      </c>
      <c r="L51" s="252">
        <f t="shared" si="23"/>
        <v>11.3</v>
      </c>
    </row>
    <row r="52" spans="1:13" ht="75" x14ac:dyDescent="0.25">
      <c r="A52" s="10"/>
      <c r="B52" s="11"/>
      <c r="C52" s="233" t="s">
        <v>694</v>
      </c>
      <c r="D52" s="235" t="s">
        <v>695</v>
      </c>
      <c r="E52" s="224" t="s">
        <v>710</v>
      </c>
      <c r="F52" s="225" t="s">
        <v>51</v>
      </c>
      <c r="G52" s="253">
        <v>76.7</v>
      </c>
      <c r="H52" s="253">
        <v>76.7</v>
      </c>
      <c r="I52" s="253">
        <f>H52</f>
        <v>76.7</v>
      </c>
      <c r="J52" s="254">
        <v>10.5</v>
      </c>
      <c r="K52" s="254">
        <v>10.9</v>
      </c>
      <c r="L52" s="254">
        <v>11.3</v>
      </c>
    </row>
    <row r="53" spans="1:13" s="17" customFormat="1" ht="90" x14ac:dyDescent="0.25">
      <c r="A53" s="16"/>
      <c r="B53" s="15" t="s">
        <v>134</v>
      </c>
      <c r="C53" s="231" t="s">
        <v>135</v>
      </c>
      <c r="D53" s="232" t="s">
        <v>991</v>
      </c>
      <c r="E53" s="222"/>
      <c r="F53" s="225" t="s">
        <v>52</v>
      </c>
      <c r="G53" s="251">
        <f>G54</f>
        <v>230.3</v>
      </c>
      <c r="H53" s="251">
        <f t="shared" ref="H53:L53" si="24">H54</f>
        <v>264</v>
      </c>
      <c r="I53" s="251">
        <f t="shared" si="24"/>
        <v>264</v>
      </c>
      <c r="J53" s="252">
        <f t="shared" si="24"/>
        <v>300.7</v>
      </c>
      <c r="K53" s="252">
        <f t="shared" si="24"/>
        <v>312.7</v>
      </c>
      <c r="L53" s="252">
        <f t="shared" si="24"/>
        <v>325.2</v>
      </c>
    </row>
    <row r="54" spans="1:13" ht="90" x14ac:dyDescent="0.25">
      <c r="A54" s="10"/>
      <c r="B54" s="11"/>
      <c r="C54" s="233" t="s">
        <v>697</v>
      </c>
      <c r="D54" s="235" t="s">
        <v>696</v>
      </c>
      <c r="E54" s="224" t="s">
        <v>710</v>
      </c>
      <c r="F54" s="225" t="s">
        <v>53</v>
      </c>
      <c r="G54" s="260">
        <v>230.3</v>
      </c>
      <c r="H54" s="260">
        <v>264</v>
      </c>
      <c r="I54" s="260">
        <f>H54</f>
        <v>264</v>
      </c>
      <c r="J54" s="261">
        <v>300.7</v>
      </c>
      <c r="K54" s="261">
        <v>312.7</v>
      </c>
      <c r="L54" s="261">
        <v>325.2</v>
      </c>
    </row>
    <row r="55" spans="1:13" s="8" customFormat="1" ht="29.25" x14ac:dyDescent="0.25">
      <c r="A55" s="13"/>
      <c r="B55" s="12" t="s">
        <v>1006</v>
      </c>
      <c r="C55" s="228" t="s">
        <v>128</v>
      </c>
      <c r="D55" s="229" t="s">
        <v>887</v>
      </c>
      <c r="E55" s="227"/>
      <c r="F55" s="225" t="s">
        <v>281</v>
      </c>
      <c r="G55" s="256">
        <f>G56</f>
        <v>44.199999999999996</v>
      </c>
      <c r="H55" s="256">
        <f t="shared" ref="H55:L55" si="25">H56</f>
        <v>34.4</v>
      </c>
      <c r="I55" s="257">
        <f t="shared" si="25"/>
        <v>36.699999999999996</v>
      </c>
      <c r="J55" s="257">
        <f t="shared" si="25"/>
        <v>43.8</v>
      </c>
      <c r="K55" s="257">
        <f t="shared" si="25"/>
        <v>45.6</v>
      </c>
      <c r="L55" s="257">
        <f t="shared" si="25"/>
        <v>47.4</v>
      </c>
    </row>
    <row r="56" spans="1:13" s="17" customFormat="1" ht="45" x14ac:dyDescent="0.25">
      <c r="A56" s="16"/>
      <c r="B56" s="15" t="s">
        <v>139</v>
      </c>
      <c r="C56" s="231" t="s">
        <v>140</v>
      </c>
      <c r="D56" s="232" t="s">
        <v>139</v>
      </c>
      <c r="E56" s="222"/>
      <c r="F56" s="225" t="s">
        <v>54</v>
      </c>
      <c r="G56" s="258">
        <f t="shared" ref="G56:L56" si="26">G57+G58</f>
        <v>44.199999999999996</v>
      </c>
      <c r="H56" s="258">
        <f t="shared" si="26"/>
        <v>34.4</v>
      </c>
      <c r="I56" s="259">
        <f t="shared" si="26"/>
        <v>36.699999999999996</v>
      </c>
      <c r="J56" s="259">
        <f t="shared" si="26"/>
        <v>43.8</v>
      </c>
      <c r="K56" s="259">
        <f t="shared" si="26"/>
        <v>45.6</v>
      </c>
      <c r="L56" s="259">
        <f t="shared" si="26"/>
        <v>47.4</v>
      </c>
    </row>
    <row r="57" spans="1:13" ht="67.5" customHeight="1" x14ac:dyDescent="0.25">
      <c r="A57" s="10"/>
      <c r="B57" s="11"/>
      <c r="C57" s="233" t="s">
        <v>888</v>
      </c>
      <c r="D57" s="272" t="s">
        <v>889</v>
      </c>
      <c r="E57" s="224" t="s">
        <v>890</v>
      </c>
      <c r="F57" s="225" t="s">
        <v>55</v>
      </c>
      <c r="G57" s="253">
        <v>40.9</v>
      </c>
      <c r="H57" s="253">
        <v>32</v>
      </c>
      <c r="I57" s="254">
        <v>33.4</v>
      </c>
      <c r="J57" s="254">
        <v>40.5</v>
      </c>
      <c r="K57" s="261">
        <v>42.2</v>
      </c>
      <c r="L57" s="261">
        <v>43.9</v>
      </c>
    </row>
    <row r="58" spans="1:13" ht="60" x14ac:dyDescent="0.25">
      <c r="A58" s="10"/>
      <c r="B58" s="11"/>
      <c r="C58" s="233" t="s">
        <v>892</v>
      </c>
      <c r="D58" s="272" t="s">
        <v>891</v>
      </c>
      <c r="E58" s="224" t="s">
        <v>890</v>
      </c>
      <c r="F58" s="225" t="s">
        <v>56</v>
      </c>
      <c r="G58" s="253">
        <v>3.3</v>
      </c>
      <c r="H58" s="253">
        <v>2.4</v>
      </c>
      <c r="I58" s="254">
        <f>G58</f>
        <v>3.3</v>
      </c>
      <c r="J58" s="254">
        <v>3.3</v>
      </c>
      <c r="K58" s="254">
        <v>3.4</v>
      </c>
      <c r="L58" s="254">
        <v>3.5</v>
      </c>
    </row>
    <row r="59" spans="1:13" s="8" customFormat="1" ht="57.75" x14ac:dyDescent="0.25">
      <c r="A59" s="13"/>
      <c r="B59" s="12" t="s">
        <v>147</v>
      </c>
      <c r="C59" s="228" t="s">
        <v>149</v>
      </c>
      <c r="D59" s="229" t="s">
        <v>870</v>
      </c>
      <c r="E59" s="227"/>
      <c r="F59" s="225" t="s">
        <v>57</v>
      </c>
      <c r="G59" s="256">
        <f t="shared" ref="G59:L59" si="27">G60+G63</f>
        <v>19607.7</v>
      </c>
      <c r="H59" s="256">
        <f t="shared" si="27"/>
        <v>15898.900000000001</v>
      </c>
      <c r="I59" s="257">
        <f t="shared" si="27"/>
        <v>19368.3</v>
      </c>
      <c r="J59" s="257">
        <f t="shared" si="27"/>
        <v>15473.4</v>
      </c>
      <c r="K59" s="257">
        <f t="shared" si="27"/>
        <v>16092.3</v>
      </c>
      <c r="L59" s="257">
        <f t="shared" si="27"/>
        <v>16736</v>
      </c>
    </row>
    <row r="60" spans="1:13" s="17" customFormat="1" ht="30" x14ac:dyDescent="0.25">
      <c r="A60" s="16"/>
      <c r="B60" s="15" t="s">
        <v>150</v>
      </c>
      <c r="C60" s="231" t="s">
        <v>151</v>
      </c>
      <c r="D60" s="232" t="s">
        <v>150</v>
      </c>
      <c r="E60" s="222"/>
      <c r="F60" s="225" t="s">
        <v>58</v>
      </c>
      <c r="G60" s="258">
        <f>SUM(G61:G62)</f>
        <v>16961.7</v>
      </c>
      <c r="H60" s="258">
        <f t="shared" ref="H60:L60" si="28">SUM(H61:H62)</f>
        <v>13515.2</v>
      </c>
      <c r="I60" s="259">
        <f t="shared" si="28"/>
        <v>16961.7</v>
      </c>
      <c r="J60" s="259">
        <f t="shared" si="28"/>
        <v>14410.9</v>
      </c>
      <c r="K60" s="259">
        <f t="shared" si="28"/>
        <v>14987.3</v>
      </c>
      <c r="L60" s="259">
        <f t="shared" si="28"/>
        <v>15586.8</v>
      </c>
    </row>
    <row r="61" spans="1:13" ht="75" x14ac:dyDescent="0.25">
      <c r="A61" s="10"/>
      <c r="B61" s="11"/>
      <c r="C61" s="233" t="s">
        <v>698</v>
      </c>
      <c r="D61" s="235" t="s">
        <v>701</v>
      </c>
      <c r="E61" s="224" t="s">
        <v>732</v>
      </c>
      <c r="F61" s="225" t="s">
        <v>59</v>
      </c>
      <c r="G61" s="253">
        <v>12057.7</v>
      </c>
      <c r="H61" s="253">
        <v>10031.6</v>
      </c>
      <c r="I61" s="254">
        <f>SUM(G61)</f>
        <v>12057.7</v>
      </c>
      <c r="J61" s="254">
        <v>9820</v>
      </c>
      <c r="K61" s="261">
        <v>10212.799999999999</v>
      </c>
      <c r="L61" s="261">
        <v>10621.3</v>
      </c>
    </row>
    <row r="62" spans="1:13" ht="90" x14ac:dyDescent="0.25">
      <c r="A62" s="10"/>
      <c r="B62" s="11"/>
      <c r="C62" s="233" t="s">
        <v>699</v>
      </c>
      <c r="D62" s="235" t="s">
        <v>701</v>
      </c>
      <c r="E62" s="224" t="s">
        <v>729</v>
      </c>
      <c r="F62" s="225" t="s">
        <v>60</v>
      </c>
      <c r="G62" s="253">
        <v>4904</v>
      </c>
      <c r="H62" s="253">
        <v>3483.6</v>
      </c>
      <c r="I62" s="254">
        <f>SUM(G62)</f>
        <v>4904</v>
      </c>
      <c r="J62" s="254">
        <v>4590.8999999999996</v>
      </c>
      <c r="K62" s="261">
        <v>4774.5</v>
      </c>
      <c r="L62" s="261">
        <v>4965.5</v>
      </c>
    </row>
    <row r="63" spans="1:13" s="17" customFormat="1" ht="30" x14ac:dyDescent="0.25">
      <c r="A63" s="16"/>
      <c r="B63" s="15" t="s">
        <v>155</v>
      </c>
      <c r="C63" s="231" t="s">
        <v>156</v>
      </c>
      <c r="D63" s="232" t="s">
        <v>155</v>
      </c>
      <c r="E63" s="222"/>
      <c r="F63" s="225" t="s">
        <v>61</v>
      </c>
      <c r="G63" s="258">
        <f t="shared" ref="G63:L63" si="29">G64+G69</f>
        <v>2646</v>
      </c>
      <c r="H63" s="258">
        <f t="shared" si="29"/>
        <v>2383.6999999999998</v>
      </c>
      <c r="I63" s="258">
        <f t="shared" si="29"/>
        <v>2406.6</v>
      </c>
      <c r="J63" s="259">
        <f t="shared" si="29"/>
        <v>1062.5</v>
      </c>
      <c r="K63" s="259">
        <f t="shared" si="29"/>
        <v>1105</v>
      </c>
      <c r="L63" s="259">
        <f t="shared" si="29"/>
        <v>1149.1999999999998</v>
      </c>
    </row>
    <row r="64" spans="1:13" s="8" customFormat="1" ht="43.5" x14ac:dyDescent="0.25">
      <c r="A64" s="13"/>
      <c r="B64" s="12"/>
      <c r="C64" s="228" t="s">
        <v>714</v>
      </c>
      <c r="D64" s="229" t="s">
        <v>560</v>
      </c>
      <c r="E64" s="227"/>
      <c r="F64" s="225" t="s">
        <v>62</v>
      </c>
      <c r="G64" s="256">
        <f>SUM(G65:G68)</f>
        <v>897.3</v>
      </c>
      <c r="H64" s="256">
        <f t="shared" ref="H64:L64" si="30">SUM(H65:H68)</f>
        <v>626.9</v>
      </c>
      <c r="I64" s="256">
        <f t="shared" si="30"/>
        <v>649.79999999999995</v>
      </c>
      <c r="J64" s="256">
        <f t="shared" si="30"/>
        <v>640.6</v>
      </c>
      <c r="K64" s="256">
        <f t="shared" si="30"/>
        <v>666.3</v>
      </c>
      <c r="L64" s="256">
        <f t="shared" si="30"/>
        <v>692.8</v>
      </c>
    </row>
    <row r="65" spans="1:13" ht="92.25" customHeight="1" x14ac:dyDescent="0.25">
      <c r="A65" s="10"/>
      <c r="B65" s="11"/>
      <c r="C65" s="233" t="s">
        <v>716</v>
      </c>
      <c r="D65" s="235" t="s">
        <v>703</v>
      </c>
      <c r="E65" s="224" t="s">
        <v>729</v>
      </c>
      <c r="F65" s="225" t="s">
        <v>246</v>
      </c>
      <c r="G65" s="260">
        <v>415.9</v>
      </c>
      <c r="H65" s="260">
        <v>213.1</v>
      </c>
      <c r="I65" s="261">
        <v>213.1</v>
      </c>
      <c r="J65" s="261"/>
      <c r="K65" s="261"/>
      <c r="L65" s="261"/>
    </row>
    <row r="66" spans="1:13" ht="92.25" customHeight="1" x14ac:dyDescent="0.25">
      <c r="A66" s="10"/>
      <c r="B66" s="11"/>
      <c r="C66" s="233" t="s">
        <v>1007</v>
      </c>
      <c r="D66" s="235" t="s">
        <v>703</v>
      </c>
      <c r="E66" s="224" t="s">
        <v>710</v>
      </c>
      <c r="F66" s="225" t="s">
        <v>63</v>
      </c>
      <c r="G66" s="260">
        <v>0</v>
      </c>
      <c r="H66" s="260">
        <v>0</v>
      </c>
      <c r="I66" s="261">
        <v>0</v>
      </c>
      <c r="J66" s="261">
        <v>69.2</v>
      </c>
      <c r="K66" s="261">
        <v>72</v>
      </c>
      <c r="L66" s="261">
        <v>74.8</v>
      </c>
    </row>
    <row r="67" spans="1:13" ht="60" x14ac:dyDescent="0.25">
      <c r="A67" s="10"/>
      <c r="B67" s="11"/>
      <c r="C67" s="233" t="s">
        <v>717</v>
      </c>
      <c r="D67" s="235" t="s">
        <v>703</v>
      </c>
      <c r="E67" s="224" t="s">
        <v>770</v>
      </c>
      <c r="F67" s="225" t="s">
        <v>64</v>
      </c>
      <c r="G67" s="260">
        <v>14.8</v>
      </c>
      <c r="H67" s="260">
        <v>20.5</v>
      </c>
      <c r="I67" s="261">
        <v>20.5</v>
      </c>
      <c r="J67" s="261"/>
      <c r="K67" s="261"/>
      <c r="L67" s="261"/>
    </row>
    <row r="68" spans="1:13" ht="90" x14ac:dyDescent="0.25">
      <c r="A68" s="10"/>
      <c r="B68" s="11"/>
      <c r="C68" s="233" t="s">
        <v>718</v>
      </c>
      <c r="D68" s="235" t="s">
        <v>703</v>
      </c>
      <c r="E68" s="224" t="s">
        <v>829</v>
      </c>
      <c r="F68" s="225" t="s">
        <v>247</v>
      </c>
      <c r="G68" s="260">
        <v>466.6</v>
      </c>
      <c r="H68" s="260">
        <v>393.3</v>
      </c>
      <c r="I68" s="261">
        <v>416.2</v>
      </c>
      <c r="J68" s="261">
        <v>571.4</v>
      </c>
      <c r="K68" s="261">
        <v>594.29999999999995</v>
      </c>
      <c r="L68" s="261">
        <v>618</v>
      </c>
    </row>
    <row r="69" spans="1:13" s="8" customFormat="1" ht="15.75" x14ac:dyDescent="0.25">
      <c r="A69" s="13"/>
      <c r="B69" s="12"/>
      <c r="C69" s="228" t="s">
        <v>713</v>
      </c>
      <c r="D69" s="229" t="s">
        <v>871</v>
      </c>
      <c r="E69" s="227"/>
      <c r="F69" s="225" t="s">
        <v>282</v>
      </c>
      <c r="G69" s="256">
        <f>SUM(G70:G75)</f>
        <v>1748.7</v>
      </c>
      <c r="H69" s="256">
        <f t="shared" ref="H69:L69" si="31">SUM(H70:H75)</f>
        <v>1756.8</v>
      </c>
      <c r="I69" s="256">
        <f t="shared" si="31"/>
        <v>1756.8</v>
      </c>
      <c r="J69" s="256">
        <f t="shared" si="31"/>
        <v>421.90000000000003</v>
      </c>
      <c r="K69" s="256">
        <f t="shared" si="31"/>
        <v>438.7</v>
      </c>
      <c r="L69" s="256">
        <f t="shared" si="31"/>
        <v>456.4</v>
      </c>
      <c r="M69" s="292"/>
    </row>
    <row r="70" spans="1:13" ht="96" customHeight="1" x14ac:dyDescent="0.25">
      <c r="A70" s="10"/>
      <c r="B70" s="11"/>
      <c r="C70" s="233" t="s">
        <v>825</v>
      </c>
      <c r="D70" s="235" t="s">
        <v>705</v>
      </c>
      <c r="E70" s="224" t="s">
        <v>829</v>
      </c>
      <c r="F70" s="225" t="s">
        <v>65</v>
      </c>
      <c r="G70" s="260">
        <v>1157.4000000000001</v>
      </c>
      <c r="H70" s="260">
        <v>1157.4000000000001</v>
      </c>
      <c r="I70" s="261">
        <v>1157.4000000000001</v>
      </c>
      <c r="J70" s="261"/>
      <c r="K70" s="261"/>
      <c r="L70" s="261"/>
    </row>
    <row r="71" spans="1:13" ht="69" customHeight="1" x14ac:dyDescent="0.25">
      <c r="A71" s="10"/>
      <c r="B71" s="11"/>
      <c r="C71" s="233" t="s">
        <v>826</v>
      </c>
      <c r="D71" s="235" t="s">
        <v>705</v>
      </c>
      <c r="E71" s="224" t="s">
        <v>732</v>
      </c>
      <c r="F71" s="225" t="s">
        <v>66</v>
      </c>
      <c r="G71" s="260">
        <v>249.9</v>
      </c>
      <c r="H71" s="260">
        <v>279.7</v>
      </c>
      <c r="I71" s="261">
        <v>279.7</v>
      </c>
      <c r="J71" s="261">
        <v>366.1</v>
      </c>
      <c r="K71" s="261">
        <v>380.7</v>
      </c>
      <c r="L71" s="261">
        <v>396</v>
      </c>
    </row>
    <row r="72" spans="1:13" ht="84.75" customHeight="1" x14ac:dyDescent="0.25">
      <c r="A72" s="10"/>
      <c r="B72" s="11"/>
      <c r="C72" s="233" t="s">
        <v>914</v>
      </c>
      <c r="D72" s="235" t="s">
        <v>705</v>
      </c>
      <c r="E72" s="224" t="s">
        <v>755</v>
      </c>
      <c r="F72" s="225" t="s">
        <v>67</v>
      </c>
      <c r="G72" s="260">
        <v>110.3</v>
      </c>
      <c r="H72" s="260">
        <v>110.3</v>
      </c>
      <c r="I72" s="261">
        <v>110.3</v>
      </c>
      <c r="J72" s="261"/>
      <c r="K72" s="261"/>
      <c r="L72" s="261"/>
    </row>
    <row r="73" spans="1:13" ht="60" x14ac:dyDescent="0.25">
      <c r="A73" s="10"/>
      <c r="B73" s="11"/>
      <c r="C73" s="233" t="s">
        <v>828</v>
      </c>
      <c r="D73" s="235" t="s">
        <v>705</v>
      </c>
      <c r="E73" s="224" t="s">
        <v>995</v>
      </c>
      <c r="F73" s="225" t="s">
        <v>248</v>
      </c>
      <c r="G73" s="260">
        <v>148.1</v>
      </c>
      <c r="H73" s="260">
        <v>148.1</v>
      </c>
      <c r="I73" s="261">
        <v>148.1</v>
      </c>
      <c r="J73" s="261">
        <v>55.8</v>
      </c>
      <c r="K73" s="261">
        <v>58</v>
      </c>
      <c r="L73" s="261">
        <v>60.4</v>
      </c>
      <c r="M73" s="29"/>
    </row>
    <row r="74" spans="1:13" ht="75" customHeight="1" x14ac:dyDescent="0.25">
      <c r="A74" s="10"/>
      <c r="B74" s="11"/>
      <c r="C74" s="233" t="s">
        <v>827</v>
      </c>
      <c r="D74" s="235" t="s">
        <v>705</v>
      </c>
      <c r="E74" s="224" t="s">
        <v>762</v>
      </c>
      <c r="F74" s="225" t="s">
        <v>136</v>
      </c>
      <c r="G74" s="260">
        <v>3.6</v>
      </c>
      <c r="H74" s="260">
        <v>0</v>
      </c>
      <c r="I74" s="261">
        <v>0</v>
      </c>
      <c r="J74" s="261"/>
      <c r="K74" s="261"/>
      <c r="L74" s="261"/>
      <c r="M74" s="29"/>
    </row>
    <row r="75" spans="1:13" ht="75" x14ac:dyDescent="0.25">
      <c r="A75" s="10"/>
      <c r="B75" s="11"/>
      <c r="C75" s="233" t="s">
        <v>704</v>
      </c>
      <c r="D75" s="235" t="s">
        <v>705</v>
      </c>
      <c r="E75" s="224" t="s">
        <v>710</v>
      </c>
      <c r="F75" s="225" t="s">
        <v>137</v>
      </c>
      <c r="G75" s="260">
        <v>79.400000000000006</v>
      </c>
      <c r="H75" s="260">
        <v>61.3</v>
      </c>
      <c r="I75" s="261">
        <v>61.3</v>
      </c>
      <c r="J75" s="261"/>
      <c r="K75" s="261"/>
      <c r="L75" s="261"/>
      <c r="M75" s="29"/>
    </row>
    <row r="76" spans="1:13" s="8" customFormat="1" ht="43.5" x14ac:dyDescent="0.25">
      <c r="A76" s="13"/>
      <c r="B76" s="12" t="s">
        <v>157</v>
      </c>
      <c r="C76" s="228" t="s">
        <v>159</v>
      </c>
      <c r="D76" s="229" t="s">
        <v>158</v>
      </c>
      <c r="E76" s="227"/>
      <c r="F76" s="225" t="s">
        <v>138</v>
      </c>
      <c r="G76" s="256">
        <f t="shared" ref="G76:L76" si="32">G77+G82</f>
        <v>2855.7</v>
      </c>
      <c r="H76" s="256">
        <f t="shared" si="32"/>
        <v>2231.6999999999998</v>
      </c>
      <c r="I76" s="257">
        <f t="shared" si="32"/>
        <v>2483.6000000000004</v>
      </c>
      <c r="J76" s="257">
        <f t="shared" si="32"/>
        <v>2400</v>
      </c>
      <c r="K76" s="257">
        <f t="shared" si="32"/>
        <v>2160</v>
      </c>
      <c r="L76" s="257">
        <f t="shared" si="32"/>
        <v>1944</v>
      </c>
    </row>
    <row r="77" spans="1:13" s="17" customFormat="1" ht="86.25" customHeight="1" x14ac:dyDescent="0.25">
      <c r="A77" s="16"/>
      <c r="B77" s="15" t="s">
        <v>161</v>
      </c>
      <c r="C77" s="231" t="s">
        <v>160</v>
      </c>
      <c r="D77" s="232" t="s">
        <v>161</v>
      </c>
      <c r="E77" s="222"/>
      <c r="F77" s="225" t="s">
        <v>176</v>
      </c>
      <c r="G77" s="258">
        <f>SUM(G78:G81)</f>
        <v>2274.8999999999996</v>
      </c>
      <c r="H77" s="258">
        <f t="shared" ref="H77:L77" si="33">SUM(H78:H81)</f>
        <v>1650.9</v>
      </c>
      <c r="I77" s="259">
        <f t="shared" si="33"/>
        <v>1902.8000000000002</v>
      </c>
      <c r="J77" s="259">
        <f t="shared" si="33"/>
        <v>1900</v>
      </c>
      <c r="K77" s="259">
        <f t="shared" si="33"/>
        <v>1710</v>
      </c>
      <c r="L77" s="259">
        <f t="shared" si="33"/>
        <v>1539</v>
      </c>
    </row>
    <row r="78" spans="1:13" ht="75" x14ac:dyDescent="0.25">
      <c r="A78" s="10"/>
      <c r="B78" s="11"/>
      <c r="C78" s="233" t="s">
        <v>707</v>
      </c>
      <c r="D78" s="235" t="s">
        <v>706</v>
      </c>
      <c r="E78" s="224" t="s">
        <v>710</v>
      </c>
      <c r="F78" s="225" t="s">
        <v>177</v>
      </c>
      <c r="G78" s="253">
        <v>1800</v>
      </c>
      <c r="H78" s="253">
        <v>1175.9000000000001</v>
      </c>
      <c r="I78" s="254">
        <f>SUM(H78+251.9)</f>
        <v>1427.8000000000002</v>
      </c>
      <c r="J78" s="254">
        <v>1500</v>
      </c>
      <c r="K78" s="254">
        <v>1350</v>
      </c>
      <c r="L78" s="254">
        <v>1215</v>
      </c>
    </row>
    <row r="79" spans="1:13" ht="75" x14ac:dyDescent="0.25">
      <c r="A79" s="10"/>
      <c r="B79" s="11"/>
      <c r="C79" s="233" t="s">
        <v>992</v>
      </c>
      <c r="D79" s="235" t="s">
        <v>844</v>
      </c>
      <c r="E79" s="224" t="s">
        <v>710</v>
      </c>
      <c r="F79" s="225" t="s">
        <v>178</v>
      </c>
      <c r="G79" s="253">
        <v>17.8</v>
      </c>
      <c r="H79" s="253">
        <v>17.8</v>
      </c>
      <c r="I79" s="254">
        <f t="shared" ref="I79:I81" si="34">SUM(H79)</f>
        <v>17.8</v>
      </c>
      <c r="J79" s="254">
        <v>0</v>
      </c>
      <c r="K79" s="254">
        <v>0</v>
      </c>
      <c r="L79" s="254">
        <v>0</v>
      </c>
    </row>
    <row r="80" spans="1:13" ht="75" x14ac:dyDescent="0.25">
      <c r="A80" s="10"/>
      <c r="B80" s="11"/>
      <c r="C80" s="233" t="s">
        <v>845</v>
      </c>
      <c r="D80" s="235" t="s">
        <v>846</v>
      </c>
      <c r="E80" s="224" t="s">
        <v>993</v>
      </c>
      <c r="F80" s="225" t="s">
        <v>179</v>
      </c>
      <c r="G80" s="253">
        <v>7.1</v>
      </c>
      <c r="H80" s="253">
        <v>46.4</v>
      </c>
      <c r="I80" s="254">
        <f t="shared" si="34"/>
        <v>46.4</v>
      </c>
      <c r="J80" s="254">
        <v>0</v>
      </c>
      <c r="K80" s="254">
        <v>0</v>
      </c>
      <c r="L80" s="254">
        <v>0</v>
      </c>
    </row>
    <row r="81" spans="1:16" ht="90" x14ac:dyDescent="0.25">
      <c r="A81" s="10"/>
      <c r="B81" s="11"/>
      <c r="C81" s="233" t="s">
        <v>709</v>
      </c>
      <c r="D81" s="235" t="s">
        <v>708</v>
      </c>
      <c r="E81" s="224" t="s">
        <v>710</v>
      </c>
      <c r="F81" s="225" t="s">
        <v>180</v>
      </c>
      <c r="G81" s="253">
        <v>450</v>
      </c>
      <c r="H81" s="253">
        <v>410.8</v>
      </c>
      <c r="I81" s="254">
        <f t="shared" si="34"/>
        <v>410.8</v>
      </c>
      <c r="J81" s="254">
        <v>400</v>
      </c>
      <c r="K81" s="254">
        <v>360</v>
      </c>
      <c r="L81" s="254">
        <v>324</v>
      </c>
    </row>
    <row r="82" spans="1:16" s="17" customFormat="1" ht="75" x14ac:dyDescent="0.25">
      <c r="A82" s="16"/>
      <c r="B82" s="15" t="s">
        <v>332</v>
      </c>
      <c r="C82" s="231" t="s">
        <v>994</v>
      </c>
      <c r="D82" s="232" t="s">
        <v>332</v>
      </c>
      <c r="E82" s="222"/>
      <c r="F82" s="225" t="s">
        <v>181</v>
      </c>
      <c r="G82" s="251">
        <f>G83</f>
        <v>580.79999999999995</v>
      </c>
      <c r="H82" s="251">
        <f t="shared" ref="H82:L82" si="35">H83</f>
        <v>580.79999999999995</v>
      </c>
      <c r="I82" s="252">
        <f t="shared" si="35"/>
        <v>580.79999999999995</v>
      </c>
      <c r="J82" s="252">
        <f t="shared" si="35"/>
        <v>500</v>
      </c>
      <c r="K82" s="252">
        <f t="shared" si="35"/>
        <v>450</v>
      </c>
      <c r="L82" s="252">
        <f t="shared" si="35"/>
        <v>405</v>
      </c>
      <c r="P82" s="134"/>
    </row>
    <row r="83" spans="1:16" ht="75" x14ac:dyDescent="0.25">
      <c r="A83" s="10"/>
      <c r="B83" s="11"/>
      <c r="C83" s="233" t="s">
        <v>711</v>
      </c>
      <c r="D83" s="235" t="s">
        <v>712</v>
      </c>
      <c r="E83" s="224" t="s">
        <v>710</v>
      </c>
      <c r="F83" s="225" t="s">
        <v>182</v>
      </c>
      <c r="G83" s="253">
        <v>580.79999999999995</v>
      </c>
      <c r="H83" s="253">
        <v>580.79999999999995</v>
      </c>
      <c r="I83" s="254">
        <f>SUM(H83)</f>
        <v>580.79999999999995</v>
      </c>
      <c r="J83" s="254">
        <v>500</v>
      </c>
      <c r="K83" s="254">
        <v>450</v>
      </c>
      <c r="L83" s="254">
        <v>405</v>
      </c>
    </row>
    <row r="84" spans="1:16" s="8" customFormat="1" ht="29.25" x14ac:dyDescent="0.25">
      <c r="A84" s="13"/>
      <c r="B84" s="12" t="s">
        <v>165</v>
      </c>
      <c r="C84" s="228" t="s">
        <v>167</v>
      </c>
      <c r="D84" s="229" t="s">
        <v>166</v>
      </c>
      <c r="E84" s="227"/>
      <c r="F84" s="225" t="s">
        <v>183</v>
      </c>
      <c r="G84" s="256">
        <f>G85+G88+G91+G97+G99+G101+G103+G105+G108+G93+G110+G111+G95</f>
        <v>456.50000000000006</v>
      </c>
      <c r="H84" s="256">
        <f t="shared" ref="H84:L84" si="36">H85+H88+H91+H97+H99+H101+H103+H105+H108+H93+H110+H111+H95</f>
        <v>471.90000000000003</v>
      </c>
      <c r="I84" s="256">
        <f t="shared" si="36"/>
        <v>644</v>
      </c>
      <c r="J84" s="256">
        <f t="shared" si="36"/>
        <v>553.20000000000005</v>
      </c>
      <c r="K84" s="256">
        <f t="shared" si="36"/>
        <v>575.29999999999995</v>
      </c>
      <c r="L84" s="256">
        <f t="shared" si="36"/>
        <v>598.29999999999995</v>
      </c>
      <c r="P84" s="133"/>
    </row>
    <row r="85" spans="1:16" s="8" customFormat="1" ht="72" x14ac:dyDescent="0.25">
      <c r="A85" s="13"/>
      <c r="B85" s="12"/>
      <c r="C85" s="228" t="s">
        <v>962</v>
      </c>
      <c r="D85" s="229" t="s">
        <v>961</v>
      </c>
      <c r="E85" s="227"/>
      <c r="F85" s="225" t="s">
        <v>184</v>
      </c>
      <c r="G85" s="256">
        <f>G87+G86</f>
        <v>3.8</v>
      </c>
      <c r="H85" s="256">
        <f>H87+H86</f>
        <v>4.9000000000000004</v>
      </c>
      <c r="I85" s="257">
        <f t="shared" ref="I85:L85" si="37">I87+I86</f>
        <v>7.1999999999999993</v>
      </c>
      <c r="J85" s="257">
        <f t="shared" si="37"/>
        <v>3</v>
      </c>
      <c r="K85" s="257">
        <f t="shared" si="37"/>
        <v>3.1</v>
      </c>
      <c r="L85" s="257">
        <f t="shared" si="37"/>
        <v>3.2</v>
      </c>
      <c r="M85" s="203"/>
    </row>
    <row r="86" spans="1:16" ht="90" x14ac:dyDescent="0.25">
      <c r="A86" s="10"/>
      <c r="B86" s="11"/>
      <c r="C86" s="233" t="s">
        <v>352</v>
      </c>
      <c r="D86" s="235" t="s">
        <v>519</v>
      </c>
      <c r="E86" s="238" t="s">
        <v>353</v>
      </c>
      <c r="F86" s="225" t="s">
        <v>185</v>
      </c>
      <c r="G86" s="260">
        <v>3.8</v>
      </c>
      <c r="H86" s="260">
        <v>2.5</v>
      </c>
      <c r="I86" s="261">
        <v>4.8</v>
      </c>
      <c r="J86" s="261">
        <v>3</v>
      </c>
      <c r="K86" s="261">
        <v>3.1</v>
      </c>
      <c r="L86" s="261">
        <v>3.2</v>
      </c>
    </row>
    <row r="87" spans="1:16" ht="90" x14ac:dyDescent="0.25">
      <c r="A87" s="10"/>
      <c r="B87" s="11"/>
      <c r="C87" s="233" t="s">
        <v>648</v>
      </c>
      <c r="D87" s="235" t="s">
        <v>519</v>
      </c>
      <c r="E87" s="224" t="s">
        <v>770</v>
      </c>
      <c r="F87" s="225" t="s">
        <v>186</v>
      </c>
      <c r="G87" s="260">
        <v>0</v>
      </c>
      <c r="H87" s="260">
        <v>2.4</v>
      </c>
      <c r="I87" s="261">
        <f>H87</f>
        <v>2.4</v>
      </c>
      <c r="J87" s="261">
        <v>0</v>
      </c>
      <c r="K87" s="254">
        <v>0</v>
      </c>
      <c r="L87" s="254">
        <v>0</v>
      </c>
    </row>
    <row r="88" spans="1:16" s="8" customFormat="1" ht="100.5" x14ac:dyDescent="0.25">
      <c r="A88" s="13"/>
      <c r="B88" s="12"/>
      <c r="C88" s="228" t="s">
        <v>963</v>
      </c>
      <c r="D88" s="229" t="s">
        <v>964</v>
      </c>
      <c r="E88" s="227"/>
      <c r="F88" s="225" t="s">
        <v>187</v>
      </c>
      <c r="G88" s="256">
        <f>G89+G90</f>
        <v>42.2</v>
      </c>
      <c r="H88" s="256">
        <f t="shared" ref="H88:L88" si="38">H89+H90</f>
        <v>33.5</v>
      </c>
      <c r="I88" s="257">
        <f t="shared" si="38"/>
        <v>65.900000000000006</v>
      </c>
      <c r="J88" s="257">
        <f t="shared" si="38"/>
        <v>38.200000000000003</v>
      </c>
      <c r="K88" s="257">
        <f t="shared" si="38"/>
        <v>39.700000000000003</v>
      </c>
      <c r="L88" s="257">
        <f t="shared" si="38"/>
        <v>41.3</v>
      </c>
    </row>
    <row r="89" spans="1:16" ht="105" x14ac:dyDescent="0.25">
      <c r="A89" s="10"/>
      <c r="B89" s="11"/>
      <c r="C89" s="233" t="s">
        <v>515</v>
      </c>
      <c r="D89" s="235" t="s">
        <v>719</v>
      </c>
      <c r="E89" s="224" t="s">
        <v>353</v>
      </c>
      <c r="F89" s="225" t="s">
        <v>188</v>
      </c>
      <c r="G89" s="260">
        <v>42.2</v>
      </c>
      <c r="H89" s="260">
        <v>31.8</v>
      </c>
      <c r="I89" s="261">
        <f>SUM(G89+22)</f>
        <v>64.2</v>
      </c>
      <c r="J89" s="261">
        <v>38.200000000000003</v>
      </c>
      <c r="K89" s="261">
        <v>39.700000000000003</v>
      </c>
      <c r="L89" s="261">
        <v>41.3</v>
      </c>
    </row>
    <row r="90" spans="1:16" ht="105" x14ac:dyDescent="0.25">
      <c r="A90" s="10"/>
      <c r="B90" s="11"/>
      <c r="C90" s="233" t="s">
        <v>516</v>
      </c>
      <c r="D90" s="235" t="s">
        <v>719</v>
      </c>
      <c r="E90" s="224" t="s">
        <v>770</v>
      </c>
      <c r="F90" s="225" t="s">
        <v>189</v>
      </c>
      <c r="G90" s="260">
        <v>0</v>
      </c>
      <c r="H90" s="260">
        <v>1.7</v>
      </c>
      <c r="I90" s="261">
        <f>H90</f>
        <v>1.7</v>
      </c>
      <c r="J90" s="261">
        <v>0</v>
      </c>
      <c r="K90" s="261">
        <v>0</v>
      </c>
      <c r="L90" s="261">
        <v>0</v>
      </c>
    </row>
    <row r="91" spans="1:16" s="8" customFormat="1" ht="72" x14ac:dyDescent="0.25">
      <c r="A91" s="13"/>
      <c r="B91" s="12"/>
      <c r="C91" s="228" t="s">
        <v>965</v>
      </c>
      <c r="D91" s="229" t="s">
        <v>966</v>
      </c>
      <c r="E91" s="227"/>
      <c r="F91" s="225" t="s">
        <v>190</v>
      </c>
      <c r="G91" s="256">
        <f>G92</f>
        <v>5.4</v>
      </c>
      <c r="H91" s="256">
        <f t="shared" ref="H91:L91" si="39">H92</f>
        <v>12</v>
      </c>
      <c r="I91" s="257">
        <f t="shared" si="39"/>
        <v>14</v>
      </c>
      <c r="J91" s="257">
        <f t="shared" si="39"/>
        <v>14.4</v>
      </c>
      <c r="K91" s="257">
        <f t="shared" si="39"/>
        <v>15</v>
      </c>
      <c r="L91" s="257">
        <f t="shared" si="39"/>
        <v>15.6</v>
      </c>
    </row>
    <row r="92" spans="1:16" ht="90" x14ac:dyDescent="0.25">
      <c r="A92" s="10"/>
      <c r="B92" s="11"/>
      <c r="C92" s="233" t="s">
        <v>354</v>
      </c>
      <c r="D92" s="235" t="s">
        <v>967</v>
      </c>
      <c r="E92" s="224" t="s">
        <v>353</v>
      </c>
      <c r="F92" s="225" t="s">
        <v>191</v>
      </c>
      <c r="G92" s="260">
        <v>5.4</v>
      </c>
      <c r="H92" s="260">
        <v>12</v>
      </c>
      <c r="I92" s="261">
        <v>14</v>
      </c>
      <c r="J92" s="261">
        <v>14.4</v>
      </c>
      <c r="K92" s="261">
        <v>15</v>
      </c>
      <c r="L92" s="261">
        <v>15.6</v>
      </c>
    </row>
    <row r="93" spans="1:16" ht="86.25" x14ac:dyDescent="0.25">
      <c r="A93" s="10"/>
      <c r="B93" s="11"/>
      <c r="C93" s="228" t="s">
        <v>968</v>
      </c>
      <c r="D93" s="229" t="s">
        <v>969</v>
      </c>
      <c r="E93" s="224"/>
      <c r="F93" s="225" t="s">
        <v>192</v>
      </c>
      <c r="G93" s="256">
        <f>SUM(G94)</f>
        <v>38.799999999999997</v>
      </c>
      <c r="H93" s="256">
        <f t="shared" ref="H93:L93" si="40">SUM(H94)</f>
        <v>47</v>
      </c>
      <c r="I93" s="257">
        <f t="shared" si="40"/>
        <v>63</v>
      </c>
      <c r="J93" s="257">
        <f t="shared" si="40"/>
        <v>56.4</v>
      </c>
      <c r="K93" s="257">
        <f t="shared" si="40"/>
        <v>58.7</v>
      </c>
      <c r="L93" s="257">
        <f t="shared" si="40"/>
        <v>61.1</v>
      </c>
    </row>
    <row r="94" spans="1:16" ht="105" x14ac:dyDescent="0.25">
      <c r="A94" s="10"/>
      <c r="B94" s="11"/>
      <c r="C94" s="233" t="s">
        <v>811</v>
      </c>
      <c r="D94" s="235" t="s">
        <v>970</v>
      </c>
      <c r="E94" s="224" t="s">
        <v>353</v>
      </c>
      <c r="F94" s="225" t="s">
        <v>193</v>
      </c>
      <c r="G94" s="260">
        <v>38.799999999999997</v>
      </c>
      <c r="H94" s="260">
        <v>47</v>
      </c>
      <c r="I94" s="261">
        <f>H94+16</f>
        <v>63</v>
      </c>
      <c r="J94" s="261">
        <v>56.4</v>
      </c>
      <c r="K94" s="261">
        <v>58.7</v>
      </c>
      <c r="L94" s="261">
        <v>61.1</v>
      </c>
    </row>
    <row r="95" spans="1:16" ht="72" x14ac:dyDescent="0.25">
      <c r="A95" s="10"/>
      <c r="B95" s="11"/>
      <c r="C95" s="228" t="s">
        <v>971</v>
      </c>
      <c r="D95" s="229" t="s">
        <v>972</v>
      </c>
      <c r="E95" s="224"/>
      <c r="F95" s="225" t="s">
        <v>194</v>
      </c>
      <c r="G95" s="256">
        <f>SUM(G96)</f>
        <v>0</v>
      </c>
      <c r="H95" s="256">
        <f t="shared" ref="H95:L95" si="41">SUM(H96)</f>
        <v>1</v>
      </c>
      <c r="I95" s="257">
        <f t="shared" si="41"/>
        <v>1</v>
      </c>
      <c r="J95" s="257">
        <f t="shared" si="41"/>
        <v>1.2</v>
      </c>
      <c r="K95" s="257">
        <f t="shared" si="41"/>
        <v>1.3</v>
      </c>
      <c r="L95" s="257">
        <f t="shared" si="41"/>
        <v>1.4</v>
      </c>
    </row>
    <row r="96" spans="1:16" ht="90" x14ac:dyDescent="0.25">
      <c r="A96" s="10"/>
      <c r="B96" s="11"/>
      <c r="C96" s="233" t="s">
        <v>973</v>
      </c>
      <c r="D96" s="235" t="s">
        <v>974</v>
      </c>
      <c r="E96" s="224" t="s">
        <v>353</v>
      </c>
      <c r="F96" s="225" t="s">
        <v>195</v>
      </c>
      <c r="G96" s="260">
        <v>0</v>
      </c>
      <c r="H96" s="260">
        <v>1</v>
      </c>
      <c r="I96" s="261">
        <f>H96</f>
        <v>1</v>
      </c>
      <c r="J96" s="261">
        <v>1.2</v>
      </c>
      <c r="K96" s="261">
        <v>1.3</v>
      </c>
      <c r="L96" s="261">
        <v>1.4</v>
      </c>
    </row>
    <row r="97" spans="1:12" s="8" customFormat="1" ht="86.25" x14ac:dyDescent="0.25">
      <c r="A97" s="13"/>
      <c r="B97" s="12"/>
      <c r="C97" s="228" t="s">
        <v>976</v>
      </c>
      <c r="D97" s="229" t="s">
        <v>975</v>
      </c>
      <c r="E97" s="227"/>
      <c r="F97" s="225" t="s">
        <v>196</v>
      </c>
      <c r="G97" s="256">
        <f>G98</f>
        <v>33.4</v>
      </c>
      <c r="H97" s="256">
        <f t="shared" ref="H97:L97" si="42">H98</f>
        <v>27.8</v>
      </c>
      <c r="I97" s="257">
        <f t="shared" si="42"/>
        <v>47.4</v>
      </c>
      <c r="J97" s="257">
        <f t="shared" si="42"/>
        <v>33.299999999999997</v>
      </c>
      <c r="K97" s="257">
        <f t="shared" si="42"/>
        <v>34.6</v>
      </c>
      <c r="L97" s="257">
        <f t="shared" si="42"/>
        <v>36</v>
      </c>
    </row>
    <row r="98" spans="1:12" ht="105" x14ac:dyDescent="0.25">
      <c r="A98" s="10"/>
      <c r="B98" s="11"/>
      <c r="C98" s="233" t="s">
        <v>355</v>
      </c>
      <c r="D98" s="235" t="s">
        <v>525</v>
      </c>
      <c r="E98" s="224" t="s">
        <v>353</v>
      </c>
      <c r="F98" s="225" t="s">
        <v>197</v>
      </c>
      <c r="G98" s="260">
        <v>33.4</v>
      </c>
      <c r="H98" s="260">
        <v>27.8</v>
      </c>
      <c r="I98" s="261">
        <f>G98+14</f>
        <v>47.4</v>
      </c>
      <c r="J98" s="261">
        <v>33.299999999999997</v>
      </c>
      <c r="K98" s="261">
        <v>34.6</v>
      </c>
      <c r="L98" s="261">
        <v>36</v>
      </c>
    </row>
    <row r="99" spans="1:12" s="8" customFormat="1" ht="114.75" x14ac:dyDescent="0.25">
      <c r="A99" s="13"/>
      <c r="B99" s="12"/>
      <c r="C99" s="228" t="s">
        <v>977</v>
      </c>
      <c r="D99" s="229" t="s">
        <v>978</v>
      </c>
      <c r="E99" s="227"/>
      <c r="F99" s="225" t="s">
        <v>198</v>
      </c>
      <c r="G99" s="256">
        <f>G100</f>
        <v>8.5</v>
      </c>
      <c r="H99" s="256">
        <f t="shared" ref="H99:L99" si="43">H100</f>
        <v>0</v>
      </c>
      <c r="I99" s="257">
        <f t="shared" si="43"/>
        <v>11.5</v>
      </c>
      <c r="J99" s="257">
        <f t="shared" si="43"/>
        <v>0</v>
      </c>
      <c r="K99" s="257">
        <f t="shared" si="43"/>
        <v>0</v>
      </c>
      <c r="L99" s="257">
        <f t="shared" si="43"/>
        <v>0</v>
      </c>
    </row>
    <row r="100" spans="1:12" s="8" customFormat="1" ht="150" x14ac:dyDescent="0.25">
      <c r="A100" s="13"/>
      <c r="B100" s="12"/>
      <c r="C100" s="233" t="s">
        <v>357</v>
      </c>
      <c r="D100" s="235" t="s">
        <v>979</v>
      </c>
      <c r="E100" s="224" t="s">
        <v>353</v>
      </c>
      <c r="F100" s="225" t="s">
        <v>199</v>
      </c>
      <c r="G100" s="260">
        <v>8.5</v>
      </c>
      <c r="H100" s="260">
        <v>0</v>
      </c>
      <c r="I100" s="261">
        <f>SUM(G100)+3</f>
        <v>11.5</v>
      </c>
      <c r="J100" s="261">
        <v>0</v>
      </c>
      <c r="K100" s="261">
        <v>0</v>
      </c>
      <c r="L100" s="261">
        <v>0</v>
      </c>
    </row>
    <row r="101" spans="1:12" s="8" customFormat="1" ht="72" x14ac:dyDescent="0.25">
      <c r="A101" s="13"/>
      <c r="B101" s="12"/>
      <c r="C101" s="228" t="s">
        <v>982</v>
      </c>
      <c r="D101" s="229" t="s">
        <v>980</v>
      </c>
      <c r="E101" s="239"/>
      <c r="F101" s="225" t="s">
        <v>200</v>
      </c>
      <c r="G101" s="256">
        <f>G102</f>
        <v>0</v>
      </c>
      <c r="H101" s="256">
        <f t="shared" ref="H101:L101" si="44">H102</f>
        <v>5.8</v>
      </c>
      <c r="I101" s="257">
        <f t="shared" si="44"/>
        <v>5.8</v>
      </c>
      <c r="J101" s="257">
        <f t="shared" si="44"/>
        <v>6.9</v>
      </c>
      <c r="K101" s="257">
        <f t="shared" si="44"/>
        <v>7.2</v>
      </c>
      <c r="L101" s="257">
        <f t="shared" si="44"/>
        <v>7.5</v>
      </c>
    </row>
    <row r="102" spans="1:12" ht="90" x14ac:dyDescent="0.25">
      <c r="A102" s="10"/>
      <c r="B102" s="11"/>
      <c r="C102" s="233" t="s">
        <v>816</v>
      </c>
      <c r="D102" s="235" t="s">
        <v>981</v>
      </c>
      <c r="E102" s="238" t="s">
        <v>353</v>
      </c>
      <c r="F102" s="225" t="s">
        <v>201</v>
      </c>
      <c r="G102" s="260">
        <v>0</v>
      </c>
      <c r="H102" s="260">
        <v>5.8</v>
      </c>
      <c r="I102" s="261">
        <f>H102</f>
        <v>5.8</v>
      </c>
      <c r="J102" s="261">
        <v>6.9</v>
      </c>
      <c r="K102" s="261">
        <v>7.2</v>
      </c>
      <c r="L102" s="261">
        <v>7.5</v>
      </c>
    </row>
    <row r="103" spans="1:12" ht="72" x14ac:dyDescent="0.25">
      <c r="A103" s="10"/>
      <c r="B103" s="12"/>
      <c r="C103" s="228" t="s">
        <v>983</v>
      </c>
      <c r="D103" s="229" t="s">
        <v>984</v>
      </c>
      <c r="E103" s="239"/>
      <c r="F103" s="225" t="s">
        <v>202</v>
      </c>
      <c r="G103" s="256">
        <f>G104</f>
        <v>139.19999999999999</v>
      </c>
      <c r="H103" s="256">
        <f t="shared" ref="H103:L103" si="45">H104</f>
        <v>131.9</v>
      </c>
      <c r="I103" s="257">
        <f t="shared" si="45"/>
        <v>189.2</v>
      </c>
      <c r="J103" s="257">
        <f t="shared" si="45"/>
        <v>158.30000000000001</v>
      </c>
      <c r="K103" s="257">
        <f t="shared" si="45"/>
        <v>164.6</v>
      </c>
      <c r="L103" s="257">
        <f t="shared" si="45"/>
        <v>171.2</v>
      </c>
    </row>
    <row r="104" spans="1:12" s="8" customFormat="1" ht="90" x14ac:dyDescent="0.25">
      <c r="A104" s="13"/>
      <c r="B104" s="11"/>
      <c r="C104" s="233" t="s">
        <v>359</v>
      </c>
      <c r="D104" s="235" t="s">
        <v>985</v>
      </c>
      <c r="E104" s="238" t="s">
        <v>353</v>
      </c>
      <c r="F104" s="225" t="s">
        <v>203</v>
      </c>
      <c r="G104" s="260">
        <v>139.19999999999999</v>
      </c>
      <c r="H104" s="260">
        <v>131.9</v>
      </c>
      <c r="I104" s="261">
        <f>SUM(G104)+50</f>
        <v>189.2</v>
      </c>
      <c r="J104" s="261">
        <v>158.30000000000001</v>
      </c>
      <c r="K104" s="261">
        <v>164.6</v>
      </c>
      <c r="L104" s="261">
        <v>171.2</v>
      </c>
    </row>
    <row r="105" spans="1:12" ht="86.25" x14ac:dyDescent="0.25">
      <c r="A105" s="10"/>
      <c r="B105" s="12"/>
      <c r="C105" s="228" t="s">
        <v>986</v>
      </c>
      <c r="D105" s="229" t="s">
        <v>987</v>
      </c>
      <c r="E105" s="239"/>
      <c r="F105" s="225" t="s">
        <v>204</v>
      </c>
      <c r="G105" s="256">
        <f>G106+G107</f>
        <v>77.599999999999994</v>
      </c>
      <c r="H105" s="256">
        <f t="shared" ref="H105:L105" si="46">H106+H107</f>
        <v>141.4</v>
      </c>
      <c r="I105" s="257">
        <f t="shared" si="46"/>
        <v>172.4</v>
      </c>
      <c r="J105" s="257">
        <f t="shared" si="46"/>
        <v>168.3</v>
      </c>
      <c r="K105" s="257">
        <f t="shared" si="46"/>
        <v>175</v>
      </c>
      <c r="L105" s="257">
        <f t="shared" si="46"/>
        <v>181.9</v>
      </c>
    </row>
    <row r="106" spans="1:12" s="8" customFormat="1" ht="75" x14ac:dyDescent="0.25">
      <c r="A106" s="13"/>
      <c r="B106" s="11"/>
      <c r="C106" s="233" t="s">
        <v>361</v>
      </c>
      <c r="D106" s="235" t="s">
        <v>988</v>
      </c>
      <c r="E106" s="238" t="s">
        <v>353</v>
      </c>
      <c r="F106" s="225" t="s">
        <v>205</v>
      </c>
      <c r="G106" s="260">
        <v>77.599999999999994</v>
      </c>
      <c r="H106" s="260">
        <v>137.9</v>
      </c>
      <c r="I106" s="261">
        <f>H106+31</f>
        <v>168.9</v>
      </c>
      <c r="J106" s="261">
        <v>168.3</v>
      </c>
      <c r="K106" s="261">
        <v>175</v>
      </c>
      <c r="L106" s="261">
        <v>181.9</v>
      </c>
    </row>
    <row r="107" spans="1:12" ht="75" x14ac:dyDescent="0.25">
      <c r="A107" s="10"/>
      <c r="B107" s="11"/>
      <c r="C107" s="233" t="s">
        <v>531</v>
      </c>
      <c r="D107" s="235" t="s">
        <v>988</v>
      </c>
      <c r="E107" s="238" t="s">
        <v>770</v>
      </c>
      <c r="F107" s="225" t="s">
        <v>206</v>
      </c>
      <c r="G107" s="260">
        <v>0</v>
      </c>
      <c r="H107" s="260">
        <v>3.5</v>
      </c>
      <c r="I107" s="261">
        <f>H107</f>
        <v>3.5</v>
      </c>
      <c r="J107" s="261">
        <v>0</v>
      </c>
      <c r="K107" s="261">
        <v>0</v>
      </c>
      <c r="L107" s="261">
        <v>0</v>
      </c>
    </row>
    <row r="108" spans="1:12" ht="72" x14ac:dyDescent="0.25">
      <c r="A108" s="10"/>
      <c r="B108" s="12"/>
      <c r="C108" s="228" t="s">
        <v>535</v>
      </c>
      <c r="D108" s="229" t="s">
        <v>335</v>
      </c>
      <c r="E108" s="239"/>
      <c r="F108" s="225" t="s">
        <v>207</v>
      </c>
      <c r="G108" s="256">
        <f t="shared" ref="G108:L108" si="47">SUM(G109:G109)</f>
        <v>92</v>
      </c>
      <c r="H108" s="256">
        <f t="shared" si="47"/>
        <v>50.1</v>
      </c>
      <c r="I108" s="257">
        <f t="shared" si="47"/>
        <v>50.1</v>
      </c>
      <c r="J108" s="257">
        <f t="shared" si="47"/>
        <v>73.2</v>
      </c>
      <c r="K108" s="257">
        <f t="shared" si="47"/>
        <v>76.099999999999994</v>
      </c>
      <c r="L108" s="257">
        <f t="shared" si="47"/>
        <v>79.099999999999994</v>
      </c>
    </row>
    <row r="109" spans="1:12" ht="75" x14ac:dyDescent="0.25">
      <c r="A109" s="10"/>
      <c r="B109" s="11"/>
      <c r="C109" s="233" t="s">
        <v>536</v>
      </c>
      <c r="D109" s="235" t="s">
        <v>893</v>
      </c>
      <c r="E109" s="238" t="s">
        <v>537</v>
      </c>
      <c r="F109" s="225" t="s">
        <v>208</v>
      </c>
      <c r="G109" s="260">
        <v>92</v>
      </c>
      <c r="H109" s="260">
        <v>50.1</v>
      </c>
      <c r="I109" s="261">
        <v>50.1</v>
      </c>
      <c r="J109" s="261">
        <v>73.2</v>
      </c>
      <c r="K109" s="261">
        <v>76.099999999999994</v>
      </c>
      <c r="L109" s="261">
        <v>79.099999999999994</v>
      </c>
    </row>
    <row r="110" spans="1:12" s="17" customFormat="1" ht="89.25" customHeight="1" x14ac:dyDescent="0.25">
      <c r="A110" s="16"/>
      <c r="B110" s="11"/>
      <c r="C110" s="233" t="s">
        <v>899</v>
      </c>
      <c r="D110" s="272" t="s">
        <v>847</v>
      </c>
      <c r="E110" s="224" t="s">
        <v>732</v>
      </c>
      <c r="F110" s="225" t="s">
        <v>209</v>
      </c>
      <c r="G110" s="260">
        <v>15.6</v>
      </c>
      <c r="H110" s="260">
        <v>15.6</v>
      </c>
      <c r="I110" s="261">
        <f>H110</f>
        <v>15.6</v>
      </c>
      <c r="J110" s="261">
        <v>0</v>
      </c>
      <c r="K110" s="261">
        <v>0</v>
      </c>
      <c r="L110" s="261">
        <v>0</v>
      </c>
    </row>
    <row r="111" spans="1:12" s="17" customFormat="1" ht="165.75" customHeight="1" x14ac:dyDescent="0.25">
      <c r="A111" s="16"/>
      <c r="B111" s="11"/>
      <c r="C111" s="233" t="s">
        <v>912</v>
      </c>
      <c r="D111" s="272" t="s">
        <v>913</v>
      </c>
      <c r="E111" s="224" t="s">
        <v>334</v>
      </c>
      <c r="F111" s="225" t="s">
        <v>210</v>
      </c>
      <c r="G111" s="260">
        <v>0</v>
      </c>
      <c r="H111" s="260">
        <v>0.9</v>
      </c>
      <c r="I111" s="261">
        <f>H111</f>
        <v>0.9</v>
      </c>
      <c r="J111" s="261">
        <v>0</v>
      </c>
      <c r="K111" s="261">
        <v>0</v>
      </c>
      <c r="L111" s="261">
        <v>0</v>
      </c>
    </row>
    <row r="112" spans="1:12" ht="29.25" x14ac:dyDescent="0.25">
      <c r="A112" s="10"/>
      <c r="B112" s="12" t="s">
        <v>238</v>
      </c>
      <c r="C112" s="228" t="s">
        <v>239</v>
      </c>
      <c r="D112" s="229" t="s">
        <v>238</v>
      </c>
      <c r="E112" s="239"/>
      <c r="F112" s="225" t="s">
        <v>211</v>
      </c>
      <c r="G112" s="256">
        <f t="shared" ref="G112:L112" si="48">G113+G117+G119</f>
        <v>2970.7</v>
      </c>
      <c r="H112" s="256">
        <f t="shared" si="48"/>
        <v>3022.2</v>
      </c>
      <c r="I112" s="257">
        <f t="shared" si="48"/>
        <v>2970.7</v>
      </c>
      <c r="J112" s="257">
        <f t="shared" si="48"/>
        <v>0</v>
      </c>
      <c r="K112" s="257">
        <f t="shared" si="48"/>
        <v>0</v>
      </c>
      <c r="L112" s="257">
        <f t="shared" si="48"/>
        <v>0</v>
      </c>
    </row>
    <row r="113" spans="1:16" x14ac:dyDescent="0.25">
      <c r="A113" s="16"/>
      <c r="B113" s="15" t="s">
        <v>240</v>
      </c>
      <c r="C113" s="231" t="s">
        <v>242</v>
      </c>
      <c r="D113" s="232" t="s">
        <v>240</v>
      </c>
      <c r="E113" s="240"/>
      <c r="F113" s="225" t="s">
        <v>212</v>
      </c>
      <c r="G113" s="258">
        <f t="shared" ref="G113:L113" si="49">SUM(G114:G116)</f>
        <v>0</v>
      </c>
      <c r="H113" s="258">
        <f t="shared" si="49"/>
        <v>51.5</v>
      </c>
      <c r="I113" s="259">
        <f t="shared" si="49"/>
        <v>0</v>
      </c>
      <c r="J113" s="259">
        <f t="shared" si="49"/>
        <v>0</v>
      </c>
      <c r="K113" s="259">
        <f t="shared" si="49"/>
        <v>0</v>
      </c>
      <c r="L113" s="259">
        <f t="shared" si="49"/>
        <v>0</v>
      </c>
      <c r="M113" s="164"/>
      <c r="N113" s="164"/>
    </row>
    <row r="114" spans="1:16" ht="60" customHeight="1" x14ac:dyDescent="0.25">
      <c r="A114" s="16"/>
      <c r="B114" s="15"/>
      <c r="C114" s="233" t="s">
        <v>850</v>
      </c>
      <c r="D114" s="235" t="s">
        <v>848</v>
      </c>
      <c r="E114" s="238" t="s">
        <v>726</v>
      </c>
      <c r="F114" s="225" t="s">
        <v>213</v>
      </c>
      <c r="G114" s="260">
        <v>0</v>
      </c>
      <c r="H114" s="260">
        <v>0.4</v>
      </c>
      <c r="I114" s="261"/>
      <c r="J114" s="261"/>
      <c r="K114" s="261"/>
      <c r="L114" s="261"/>
    </row>
    <row r="115" spans="1:16" ht="93" customHeight="1" x14ac:dyDescent="0.25">
      <c r="A115" s="16"/>
      <c r="B115" s="15"/>
      <c r="C115" s="233" t="s">
        <v>872</v>
      </c>
      <c r="D115" s="235" t="s">
        <v>848</v>
      </c>
      <c r="E115" s="224" t="s">
        <v>829</v>
      </c>
      <c r="F115" s="225" t="s">
        <v>214</v>
      </c>
      <c r="G115" s="260">
        <v>0</v>
      </c>
      <c r="H115" s="260">
        <v>-7.5</v>
      </c>
      <c r="I115" s="261"/>
      <c r="J115" s="261"/>
      <c r="K115" s="261"/>
      <c r="L115" s="261"/>
    </row>
    <row r="116" spans="1:16" s="29" customFormat="1" ht="84" customHeight="1" x14ac:dyDescent="0.25">
      <c r="A116" s="10"/>
      <c r="B116" s="11"/>
      <c r="C116" s="233" t="s">
        <v>849</v>
      </c>
      <c r="D116" s="235" t="s">
        <v>848</v>
      </c>
      <c r="E116" s="224" t="s">
        <v>729</v>
      </c>
      <c r="F116" s="225" t="s">
        <v>215</v>
      </c>
      <c r="G116" s="260">
        <v>0</v>
      </c>
      <c r="H116" s="260">
        <v>58.6</v>
      </c>
      <c r="I116" s="261">
        <v>0</v>
      </c>
      <c r="J116" s="261">
        <v>0</v>
      </c>
      <c r="K116" s="261">
        <v>0</v>
      </c>
      <c r="L116" s="261">
        <v>0</v>
      </c>
    </row>
    <row r="117" spans="1:16" s="8" customFormat="1" x14ac:dyDescent="0.25">
      <c r="A117" s="10"/>
      <c r="B117" s="15" t="s">
        <v>240</v>
      </c>
      <c r="C117" s="231" t="s">
        <v>547</v>
      </c>
      <c r="D117" s="232" t="s">
        <v>548</v>
      </c>
      <c r="E117" s="240"/>
      <c r="F117" s="225" t="s">
        <v>216</v>
      </c>
      <c r="G117" s="258">
        <f>SUM(G118)</f>
        <v>25</v>
      </c>
      <c r="H117" s="258">
        <f t="shared" ref="H117:L117" si="50">SUM(H118)</f>
        <v>25</v>
      </c>
      <c r="I117" s="259">
        <f t="shared" si="50"/>
        <v>25</v>
      </c>
      <c r="J117" s="259">
        <f t="shared" si="50"/>
        <v>0</v>
      </c>
      <c r="K117" s="259">
        <f t="shared" si="50"/>
        <v>0</v>
      </c>
      <c r="L117" s="259">
        <f t="shared" si="50"/>
        <v>0</v>
      </c>
    </row>
    <row r="118" spans="1:16" s="8" customFormat="1" ht="75" x14ac:dyDescent="0.25">
      <c r="A118" s="123"/>
      <c r="B118" s="11"/>
      <c r="C118" s="233" t="s">
        <v>851</v>
      </c>
      <c r="D118" s="235" t="s">
        <v>852</v>
      </c>
      <c r="E118" s="224" t="s">
        <v>732</v>
      </c>
      <c r="F118" s="225" t="s">
        <v>217</v>
      </c>
      <c r="G118" s="260">
        <v>25</v>
      </c>
      <c r="H118" s="260">
        <v>25</v>
      </c>
      <c r="I118" s="261">
        <f>SUM(G118)</f>
        <v>25</v>
      </c>
      <c r="J118" s="261">
        <v>0</v>
      </c>
      <c r="K118" s="261">
        <v>0</v>
      </c>
      <c r="L118" s="261">
        <v>0</v>
      </c>
    </row>
    <row r="119" spans="1:16" s="8" customFormat="1" x14ac:dyDescent="0.25">
      <c r="A119" s="123"/>
      <c r="B119" s="11"/>
      <c r="C119" s="231" t="s">
        <v>873</v>
      </c>
      <c r="D119" s="232" t="s">
        <v>853</v>
      </c>
      <c r="E119" s="224"/>
      <c r="F119" s="225" t="s">
        <v>218</v>
      </c>
      <c r="G119" s="258">
        <f>SUM(G120)</f>
        <v>2945.7</v>
      </c>
      <c r="H119" s="258">
        <f t="shared" ref="H119:L119" si="51">SUM(H120)</f>
        <v>2945.7</v>
      </c>
      <c r="I119" s="259">
        <f t="shared" si="51"/>
        <v>2945.7</v>
      </c>
      <c r="J119" s="259">
        <f t="shared" si="51"/>
        <v>0</v>
      </c>
      <c r="K119" s="259">
        <f t="shared" si="51"/>
        <v>0</v>
      </c>
      <c r="L119" s="259">
        <f t="shared" si="51"/>
        <v>0</v>
      </c>
    </row>
    <row r="120" spans="1:16" s="8" customFormat="1" ht="90" x14ac:dyDescent="0.25">
      <c r="A120" s="123"/>
      <c r="B120" s="11"/>
      <c r="C120" s="233" t="s">
        <v>875</v>
      </c>
      <c r="D120" s="272" t="s">
        <v>874</v>
      </c>
      <c r="E120" s="224" t="s">
        <v>829</v>
      </c>
      <c r="F120" s="225" t="s">
        <v>219</v>
      </c>
      <c r="G120" s="260">
        <v>2945.7</v>
      </c>
      <c r="H120" s="260">
        <v>2945.7</v>
      </c>
      <c r="I120" s="261">
        <f>H120</f>
        <v>2945.7</v>
      </c>
      <c r="J120" s="261"/>
      <c r="K120" s="261"/>
      <c r="L120" s="261"/>
    </row>
    <row r="121" spans="1:16" ht="29.25" x14ac:dyDescent="0.25">
      <c r="A121" s="119"/>
      <c r="B121" s="124" t="s">
        <v>169</v>
      </c>
      <c r="C121" s="125" t="s">
        <v>170</v>
      </c>
      <c r="D121" s="124" t="s">
        <v>169</v>
      </c>
      <c r="E121" s="126"/>
      <c r="F121" s="242" t="s">
        <v>220</v>
      </c>
      <c r="G121" s="262">
        <f t="shared" ref="G121:L121" si="52">G122+G201+G200</f>
        <v>1246608.5</v>
      </c>
      <c r="H121" s="262">
        <f t="shared" si="52"/>
        <v>924580.20000000007</v>
      </c>
      <c r="I121" s="262">
        <f t="shared" si="52"/>
        <v>1246608.5</v>
      </c>
      <c r="J121" s="262">
        <f t="shared" si="52"/>
        <v>1082939.2</v>
      </c>
      <c r="K121" s="262">
        <f t="shared" si="52"/>
        <v>862225.9</v>
      </c>
      <c r="L121" s="262">
        <f t="shared" si="52"/>
        <v>843035.5</v>
      </c>
      <c r="O121" s="164"/>
      <c r="P121" s="164"/>
    </row>
    <row r="122" spans="1:16" s="8" customFormat="1" ht="57.75" x14ac:dyDescent="0.25">
      <c r="A122" s="25"/>
      <c r="B122" s="155" t="s">
        <v>171</v>
      </c>
      <c r="C122" s="154" t="s">
        <v>172</v>
      </c>
      <c r="D122" s="155" t="s">
        <v>173</v>
      </c>
      <c r="E122" s="156"/>
      <c r="F122" s="244" t="s">
        <v>221</v>
      </c>
      <c r="G122" s="263">
        <f t="shared" ref="G122:L122" si="53">G123+G126+G163+G190</f>
        <v>1247831.3</v>
      </c>
      <c r="H122" s="263">
        <f t="shared" si="53"/>
        <v>925803.00000000012</v>
      </c>
      <c r="I122" s="263">
        <f t="shared" si="53"/>
        <v>1247831.3</v>
      </c>
      <c r="J122" s="263">
        <f t="shared" si="53"/>
        <v>1082939.2</v>
      </c>
      <c r="K122" s="263">
        <f t="shared" si="53"/>
        <v>862225.9</v>
      </c>
      <c r="L122" s="263">
        <f t="shared" si="53"/>
        <v>843035.5</v>
      </c>
      <c r="M122" s="203"/>
      <c r="N122" s="203"/>
      <c r="O122" s="164"/>
      <c r="P122" s="164"/>
    </row>
    <row r="123" spans="1:16" s="43" customFormat="1" ht="72" x14ac:dyDescent="0.25">
      <c r="A123" s="158"/>
      <c r="B123" s="120" t="s">
        <v>174</v>
      </c>
      <c r="C123" s="119" t="s">
        <v>260</v>
      </c>
      <c r="D123" s="120" t="s">
        <v>864</v>
      </c>
      <c r="E123" s="121"/>
      <c r="F123" s="243" t="s">
        <v>222</v>
      </c>
      <c r="G123" s="264">
        <f>G124+G125</f>
        <v>395997.8</v>
      </c>
      <c r="H123" s="264">
        <f t="shared" ref="H123:L123" si="54">H124+H125</f>
        <v>349548</v>
      </c>
      <c r="I123" s="264">
        <f t="shared" si="54"/>
        <v>395997.8</v>
      </c>
      <c r="J123" s="264">
        <f t="shared" si="54"/>
        <v>439964</v>
      </c>
      <c r="K123" s="264">
        <f t="shared" si="54"/>
        <v>367388.8</v>
      </c>
      <c r="L123" s="264">
        <f t="shared" si="54"/>
        <v>369886</v>
      </c>
      <c r="O123" s="164"/>
      <c r="P123" s="164"/>
    </row>
    <row r="124" spans="1:16" s="43" customFormat="1" ht="60.75" customHeight="1" x14ac:dyDescent="0.25">
      <c r="A124" s="41"/>
      <c r="B124" s="11"/>
      <c r="C124" s="215" t="s">
        <v>860</v>
      </c>
      <c r="D124" s="215" t="s">
        <v>861</v>
      </c>
      <c r="E124" s="151" t="s">
        <v>726</v>
      </c>
      <c r="F124" s="225" t="s">
        <v>223</v>
      </c>
      <c r="G124" s="253">
        <v>312798.09999999998</v>
      </c>
      <c r="H124" s="253">
        <v>280214.90000000002</v>
      </c>
      <c r="I124" s="254">
        <f>G124</f>
        <v>312798.09999999998</v>
      </c>
      <c r="J124" s="254">
        <v>390041.9</v>
      </c>
      <c r="K124" s="261">
        <v>315170.8</v>
      </c>
      <c r="L124" s="261">
        <v>333831.59999999998</v>
      </c>
    </row>
    <row r="125" spans="1:16" s="43" customFormat="1" ht="57" customHeight="1" x14ac:dyDescent="0.25">
      <c r="A125" s="41"/>
      <c r="B125" s="11"/>
      <c r="C125" s="215" t="s">
        <v>863</v>
      </c>
      <c r="D125" s="37" t="s">
        <v>862</v>
      </c>
      <c r="E125" s="151" t="s">
        <v>726</v>
      </c>
      <c r="F125" s="225" t="s">
        <v>233</v>
      </c>
      <c r="G125" s="253">
        <v>83199.7</v>
      </c>
      <c r="H125" s="253">
        <v>69333.100000000006</v>
      </c>
      <c r="I125" s="254">
        <f>G125</f>
        <v>83199.7</v>
      </c>
      <c r="J125" s="254">
        <v>49922.1</v>
      </c>
      <c r="K125" s="261">
        <v>52218</v>
      </c>
      <c r="L125" s="261">
        <v>36054.400000000001</v>
      </c>
    </row>
    <row r="126" spans="1:16" s="43" customFormat="1" ht="43.5" x14ac:dyDescent="0.25">
      <c r="A126" s="41"/>
      <c r="B126" s="120" t="s">
        <v>224</v>
      </c>
      <c r="C126" s="120" t="s">
        <v>262</v>
      </c>
      <c r="D126" s="120" t="s">
        <v>876</v>
      </c>
      <c r="E126" s="121"/>
      <c r="F126" s="225" t="s">
        <v>249</v>
      </c>
      <c r="G126" s="264">
        <f>G130+G134+G135+G136+G140+G128+G129+G131+G133+G137+G138+G127+G132</f>
        <v>395137.6</v>
      </c>
      <c r="H126" s="264">
        <f t="shared" ref="H126:L126" si="55">H130+H134+H135+H136+H140+H128+H129+H131+H133+H137+H138+H127+H132</f>
        <v>213491</v>
      </c>
      <c r="I126" s="264">
        <f t="shared" si="55"/>
        <v>395137.6</v>
      </c>
      <c r="J126" s="264">
        <f t="shared" si="55"/>
        <v>214956.7</v>
      </c>
      <c r="K126" s="264">
        <f t="shared" si="55"/>
        <v>64566.399999999994</v>
      </c>
      <c r="L126" s="264">
        <f t="shared" si="55"/>
        <v>43206.8</v>
      </c>
      <c r="O126" s="219"/>
      <c r="P126" s="219"/>
    </row>
    <row r="127" spans="1:16" s="43" customFormat="1" ht="105" x14ac:dyDescent="0.25">
      <c r="A127" s="41"/>
      <c r="B127" s="229"/>
      <c r="C127" s="273" t="s">
        <v>878</v>
      </c>
      <c r="D127" s="271" t="s">
        <v>877</v>
      </c>
      <c r="E127" s="224" t="s">
        <v>829</v>
      </c>
      <c r="F127" s="225" t="s">
        <v>250</v>
      </c>
      <c r="G127" s="260">
        <v>12395.3</v>
      </c>
      <c r="H127" s="260">
        <v>12391.8</v>
      </c>
      <c r="I127" s="260">
        <f>SUM(G127)</f>
        <v>12395.3</v>
      </c>
      <c r="J127" s="260">
        <v>13296.7</v>
      </c>
      <c r="K127" s="260">
        <v>0</v>
      </c>
      <c r="L127" s="260">
        <v>0</v>
      </c>
    </row>
    <row r="128" spans="1:16" s="43" customFormat="1" ht="75.75" customHeight="1" x14ac:dyDescent="0.25">
      <c r="A128" s="41"/>
      <c r="B128" s="273"/>
      <c r="C128" s="273" t="s">
        <v>837</v>
      </c>
      <c r="D128" s="273" t="s">
        <v>830</v>
      </c>
      <c r="E128" s="274" t="s">
        <v>729</v>
      </c>
      <c r="F128" s="225" t="s">
        <v>251</v>
      </c>
      <c r="G128" s="275">
        <v>2682.3</v>
      </c>
      <c r="H128" s="275">
        <v>2682.3</v>
      </c>
      <c r="I128" s="275">
        <f>SUM(G128)</f>
        <v>2682.3</v>
      </c>
      <c r="J128" s="275">
        <v>295.2</v>
      </c>
      <c r="K128" s="275">
        <v>298.8</v>
      </c>
      <c r="L128" s="275">
        <v>0</v>
      </c>
    </row>
    <row r="129" spans="1:12" s="43" customFormat="1" ht="90" x14ac:dyDescent="0.25">
      <c r="A129" s="41"/>
      <c r="B129" s="273"/>
      <c r="C129" s="273" t="s">
        <v>727</v>
      </c>
      <c r="D129" s="273" t="s">
        <v>894</v>
      </c>
      <c r="E129" s="274" t="s">
        <v>729</v>
      </c>
      <c r="F129" s="225" t="s">
        <v>252</v>
      </c>
      <c r="G129" s="275">
        <v>154.30000000000001</v>
      </c>
      <c r="H129" s="275">
        <v>154.30000000000001</v>
      </c>
      <c r="I129" s="275">
        <f t="shared" ref="I129:I138" si="56">SUM(G129)</f>
        <v>154.30000000000001</v>
      </c>
      <c r="J129" s="275">
        <v>13.1</v>
      </c>
      <c r="K129" s="275">
        <v>13.4</v>
      </c>
      <c r="L129" s="275">
        <v>0</v>
      </c>
    </row>
    <row r="130" spans="1:12" s="43" customFormat="1" ht="90" x14ac:dyDescent="0.25">
      <c r="A130" s="41"/>
      <c r="B130" s="273"/>
      <c r="C130" s="273" t="s">
        <v>832</v>
      </c>
      <c r="D130" s="235" t="s">
        <v>900</v>
      </c>
      <c r="E130" s="274" t="s">
        <v>732</v>
      </c>
      <c r="F130" s="225" t="s">
        <v>253</v>
      </c>
      <c r="G130" s="275">
        <v>1000</v>
      </c>
      <c r="H130" s="275">
        <v>811.1</v>
      </c>
      <c r="I130" s="275">
        <f t="shared" si="56"/>
        <v>1000</v>
      </c>
      <c r="J130" s="275">
        <v>0</v>
      </c>
      <c r="K130" s="275">
        <v>0</v>
      </c>
      <c r="L130" s="275">
        <v>0</v>
      </c>
    </row>
    <row r="131" spans="1:12" s="43" customFormat="1" ht="75" x14ac:dyDescent="0.25">
      <c r="A131" s="41"/>
      <c r="B131" s="273"/>
      <c r="C131" s="273" t="s">
        <v>733</v>
      </c>
      <c r="D131" s="273" t="s">
        <v>734</v>
      </c>
      <c r="E131" s="274" t="s">
        <v>732</v>
      </c>
      <c r="F131" s="225" t="s">
        <v>255</v>
      </c>
      <c r="G131" s="275">
        <v>8181.6</v>
      </c>
      <c r="H131" s="275">
        <v>4455.8999999999996</v>
      </c>
      <c r="I131" s="275">
        <f t="shared" si="56"/>
        <v>8181.6</v>
      </c>
      <c r="J131" s="275">
        <v>2048.9</v>
      </c>
      <c r="K131" s="275">
        <v>1890.2</v>
      </c>
      <c r="L131" s="275">
        <v>1807.3</v>
      </c>
    </row>
    <row r="132" spans="1:12" s="43" customFormat="1" ht="75" x14ac:dyDescent="0.25">
      <c r="A132" s="41"/>
      <c r="B132" s="273"/>
      <c r="C132" s="273" t="s">
        <v>1008</v>
      </c>
      <c r="D132" s="273" t="s">
        <v>1009</v>
      </c>
      <c r="E132" s="274" t="s">
        <v>732</v>
      </c>
      <c r="F132" s="225" t="s">
        <v>256</v>
      </c>
      <c r="G132" s="275">
        <v>0</v>
      </c>
      <c r="H132" s="275">
        <v>0</v>
      </c>
      <c r="I132" s="275">
        <v>0</v>
      </c>
      <c r="J132" s="275">
        <v>35485</v>
      </c>
      <c r="K132" s="275">
        <v>0</v>
      </c>
      <c r="L132" s="275">
        <v>0</v>
      </c>
    </row>
    <row r="133" spans="1:12" s="43" customFormat="1" ht="90" x14ac:dyDescent="0.25">
      <c r="A133" s="41"/>
      <c r="B133" s="273"/>
      <c r="C133" s="273" t="s">
        <v>940</v>
      </c>
      <c r="D133" s="272" t="s">
        <v>941</v>
      </c>
      <c r="E133" s="274" t="s">
        <v>762</v>
      </c>
      <c r="F133" s="225" t="s">
        <v>257</v>
      </c>
      <c r="G133" s="275">
        <v>234347.3</v>
      </c>
      <c r="H133" s="275">
        <v>75011</v>
      </c>
      <c r="I133" s="275">
        <f t="shared" si="56"/>
        <v>234347.3</v>
      </c>
      <c r="J133" s="275">
        <v>0</v>
      </c>
      <c r="K133" s="275">
        <v>0</v>
      </c>
      <c r="L133" s="275">
        <v>0</v>
      </c>
    </row>
    <row r="134" spans="1:12" s="43" customFormat="1" ht="120" x14ac:dyDescent="0.25">
      <c r="A134" s="41"/>
      <c r="B134" s="273"/>
      <c r="C134" s="273" t="s">
        <v>942</v>
      </c>
      <c r="D134" s="271" t="s">
        <v>943</v>
      </c>
      <c r="E134" s="274" t="s">
        <v>762</v>
      </c>
      <c r="F134" s="225" t="s">
        <v>285</v>
      </c>
      <c r="G134" s="275">
        <v>5396.5</v>
      </c>
      <c r="H134" s="275">
        <v>1618.9</v>
      </c>
      <c r="I134" s="275">
        <f t="shared" si="56"/>
        <v>5396.5</v>
      </c>
      <c r="J134" s="275">
        <v>0</v>
      </c>
      <c r="K134" s="275">
        <v>0</v>
      </c>
      <c r="L134" s="275">
        <v>0</v>
      </c>
    </row>
    <row r="135" spans="1:12" s="55" customFormat="1" ht="75" x14ac:dyDescent="0.25">
      <c r="A135" s="41"/>
      <c r="B135" s="273"/>
      <c r="C135" s="273" t="s">
        <v>839</v>
      </c>
      <c r="D135" s="272" t="s">
        <v>915</v>
      </c>
      <c r="E135" s="274" t="s">
        <v>755</v>
      </c>
      <c r="F135" s="225" t="s">
        <v>286</v>
      </c>
      <c r="G135" s="275">
        <v>4876.7</v>
      </c>
      <c r="H135" s="275">
        <v>4663.5</v>
      </c>
      <c r="I135" s="275">
        <f t="shared" si="56"/>
        <v>4876.7</v>
      </c>
      <c r="J135" s="275">
        <v>0</v>
      </c>
      <c r="K135" s="275">
        <v>0</v>
      </c>
      <c r="L135" s="275">
        <v>0</v>
      </c>
    </row>
    <row r="136" spans="1:12" s="43" customFormat="1" ht="90" x14ac:dyDescent="0.25">
      <c r="A136" s="41"/>
      <c r="B136" s="273"/>
      <c r="C136" s="273" t="s">
        <v>763</v>
      </c>
      <c r="D136" s="273" t="s">
        <v>764</v>
      </c>
      <c r="E136" s="274" t="s">
        <v>762</v>
      </c>
      <c r="F136" s="225" t="s">
        <v>287</v>
      </c>
      <c r="G136" s="275">
        <v>1152.5999999999999</v>
      </c>
      <c r="H136" s="275">
        <v>1152.5999999999999</v>
      </c>
      <c r="I136" s="275">
        <f t="shared" si="56"/>
        <v>1152.5999999999999</v>
      </c>
      <c r="J136" s="275">
        <v>1148.9000000000001</v>
      </c>
      <c r="K136" s="275">
        <v>1148.9000000000001</v>
      </c>
      <c r="L136" s="275">
        <v>1148.9000000000001</v>
      </c>
    </row>
    <row r="137" spans="1:12" s="43" customFormat="1" ht="90" x14ac:dyDescent="0.25">
      <c r="A137" s="41"/>
      <c r="B137" s="273"/>
      <c r="C137" s="273" t="s">
        <v>835</v>
      </c>
      <c r="D137" s="272" t="s">
        <v>944</v>
      </c>
      <c r="E137" s="274" t="s">
        <v>762</v>
      </c>
      <c r="F137" s="225" t="s">
        <v>288</v>
      </c>
      <c r="G137" s="275">
        <v>4223.5</v>
      </c>
      <c r="H137" s="275">
        <v>4223.5</v>
      </c>
      <c r="I137" s="275">
        <f t="shared" si="56"/>
        <v>4223.5</v>
      </c>
      <c r="J137" s="275">
        <v>0</v>
      </c>
      <c r="K137" s="275">
        <v>0</v>
      </c>
      <c r="L137" s="275">
        <v>0</v>
      </c>
    </row>
    <row r="138" spans="1:12" s="43" customFormat="1" ht="90" x14ac:dyDescent="0.25">
      <c r="A138" s="41"/>
      <c r="B138" s="273"/>
      <c r="C138" s="273" t="s">
        <v>997</v>
      </c>
      <c r="D138" s="235" t="s">
        <v>996</v>
      </c>
      <c r="E138" s="274" t="s">
        <v>770</v>
      </c>
      <c r="F138" s="225" t="s">
        <v>289</v>
      </c>
      <c r="G138" s="275">
        <v>2000</v>
      </c>
      <c r="H138" s="275">
        <v>0</v>
      </c>
      <c r="I138" s="275">
        <f t="shared" si="56"/>
        <v>2000</v>
      </c>
      <c r="J138" s="275">
        <v>0</v>
      </c>
      <c r="K138" s="275">
        <v>0</v>
      </c>
      <c r="L138" s="275">
        <v>0</v>
      </c>
    </row>
    <row r="139" spans="1:12" s="43" customFormat="1" x14ac:dyDescent="0.25">
      <c r="A139" s="41"/>
      <c r="B139" s="273"/>
      <c r="C139" s="273"/>
      <c r="D139" s="273"/>
      <c r="E139" s="274"/>
      <c r="F139" s="225" t="s">
        <v>291</v>
      </c>
      <c r="G139" s="275"/>
      <c r="H139" s="275"/>
      <c r="I139" s="275"/>
      <c r="J139" s="275"/>
      <c r="K139" s="275"/>
      <c r="L139" s="275"/>
    </row>
    <row r="140" spans="1:12" s="43" customFormat="1" x14ac:dyDescent="0.25">
      <c r="A140" s="41"/>
      <c r="B140" s="276" t="s">
        <v>492</v>
      </c>
      <c r="C140" s="276" t="s">
        <v>879</v>
      </c>
      <c r="D140" s="276" t="s">
        <v>492</v>
      </c>
      <c r="E140" s="277"/>
      <c r="F140" s="225" t="s">
        <v>292</v>
      </c>
      <c r="G140" s="278">
        <f t="shared" ref="G140:L140" si="57">SUM(G141:G162)</f>
        <v>118727.50000000003</v>
      </c>
      <c r="H140" s="278">
        <f t="shared" si="57"/>
        <v>106326.1</v>
      </c>
      <c r="I140" s="278">
        <f t="shared" si="57"/>
        <v>118727.50000000003</v>
      </c>
      <c r="J140" s="278">
        <f t="shared" si="57"/>
        <v>162668.9</v>
      </c>
      <c r="K140" s="278">
        <f t="shared" si="57"/>
        <v>61215.099999999991</v>
      </c>
      <c r="L140" s="278">
        <f t="shared" si="57"/>
        <v>40250.6</v>
      </c>
    </row>
    <row r="141" spans="1:12" s="43" customFormat="1" ht="90" x14ac:dyDescent="0.25">
      <c r="A141" s="41"/>
      <c r="B141" s="276"/>
      <c r="C141" s="273" t="s">
        <v>880</v>
      </c>
      <c r="D141" s="272" t="s">
        <v>881</v>
      </c>
      <c r="E141" s="224" t="s">
        <v>829</v>
      </c>
      <c r="F141" s="225" t="s">
        <v>293</v>
      </c>
      <c r="G141" s="279">
        <v>24992.400000000001</v>
      </c>
      <c r="H141" s="279">
        <v>24906.799999999999</v>
      </c>
      <c r="I141" s="275">
        <f>SUM(G141)</f>
        <v>24992.400000000001</v>
      </c>
      <c r="J141" s="275">
        <v>0</v>
      </c>
      <c r="K141" s="275">
        <v>0</v>
      </c>
      <c r="L141" s="275">
        <v>0</v>
      </c>
    </row>
    <row r="142" spans="1:12" s="43" customFormat="1" ht="90" x14ac:dyDescent="0.25">
      <c r="A142" s="41"/>
      <c r="B142" s="276"/>
      <c r="C142" s="273" t="s">
        <v>880</v>
      </c>
      <c r="D142" s="272" t="s">
        <v>882</v>
      </c>
      <c r="E142" s="224" t="s">
        <v>829</v>
      </c>
      <c r="F142" s="225" t="s">
        <v>294</v>
      </c>
      <c r="G142" s="279">
        <v>2461.4</v>
      </c>
      <c r="H142" s="279">
        <v>2447.9</v>
      </c>
      <c r="I142" s="275">
        <f t="shared" ref="I142:I162" si="58">SUM(G142)</f>
        <v>2461.4</v>
      </c>
      <c r="J142" s="275">
        <v>2456.9</v>
      </c>
      <c r="K142" s="275">
        <v>2456.9</v>
      </c>
      <c r="L142" s="275">
        <v>2456.9</v>
      </c>
    </row>
    <row r="143" spans="1:12" s="43" customFormat="1" ht="90" x14ac:dyDescent="0.25">
      <c r="A143" s="41"/>
      <c r="B143" s="276"/>
      <c r="C143" s="273" t="s">
        <v>880</v>
      </c>
      <c r="D143" s="272" t="s">
        <v>883</v>
      </c>
      <c r="E143" s="224" t="s">
        <v>829</v>
      </c>
      <c r="F143" s="225" t="s">
        <v>295</v>
      </c>
      <c r="G143" s="279">
        <v>2724.1</v>
      </c>
      <c r="H143" s="279">
        <v>2721.1</v>
      </c>
      <c r="I143" s="275">
        <f t="shared" si="58"/>
        <v>2724.1</v>
      </c>
      <c r="J143" s="275">
        <v>2534.4</v>
      </c>
      <c r="K143" s="275">
        <v>2534.4</v>
      </c>
      <c r="L143" s="275">
        <v>2534.4</v>
      </c>
    </row>
    <row r="144" spans="1:12" s="43" customFormat="1" ht="90" x14ac:dyDescent="0.25">
      <c r="A144" s="41"/>
      <c r="B144" s="276"/>
      <c r="C144" s="273" t="s">
        <v>880</v>
      </c>
      <c r="D144" s="272" t="s">
        <v>590</v>
      </c>
      <c r="E144" s="224" t="s">
        <v>829</v>
      </c>
      <c r="F144" s="225" t="s">
        <v>427</v>
      </c>
      <c r="G144" s="279">
        <v>6594.9</v>
      </c>
      <c r="H144" s="279">
        <v>6594.9</v>
      </c>
      <c r="I144" s="275">
        <f t="shared" si="58"/>
        <v>6594.9</v>
      </c>
      <c r="J144" s="275">
        <v>7428</v>
      </c>
      <c r="K144" s="275">
        <v>7428</v>
      </c>
      <c r="L144" s="275">
        <v>7428</v>
      </c>
    </row>
    <row r="145" spans="1:15" s="43" customFormat="1" ht="90" x14ac:dyDescent="0.25">
      <c r="A145" s="41"/>
      <c r="B145" s="276"/>
      <c r="C145" s="273" t="s">
        <v>880</v>
      </c>
      <c r="D145" s="272" t="s">
        <v>884</v>
      </c>
      <c r="E145" s="224" t="s">
        <v>829</v>
      </c>
      <c r="F145" s="225" t="s">
        <v>428</v>
      </c>
      <c r="G145" s="279">
        <v>382.3</v>
      </c>
      <c r="H145" s="279">
        <v>382.3</v>
      </c>
      <c r="I145" s="275">
        <f t="shared" si="58"/>
        <v>382.3</v>
      </c>
      <c r="J145" s="275">
        <v>360</v>
      </c>
      <c r="K145" s="275">
        <v>432</v>
      </c>
      <c r="L145" s="275">
        <v>558</v>
      </c>
    </row>
    <row r="146" spans="1:15" s="43" customFormat="1" ht="90" x14ac:dyDescent="0.25">
      <c r="A146" s="41"/>
      <c r="B146" s="276"/>
      <c r="C146" s="273" t="s">
        <v>880</v>
      </c>
      <c r="D146" s="272" t="s">
        <v>885</v>
      </c>
      <c r="E146" s="224" t="s">
        <v>829</v>
      </c>
      <c r="F146" s="225" t="s">
        <v>429</v>
      </c>
      <c r="G146" s="279">
        <v>1374.4</v>
      </c>
      <c r="H146" s="279">
        <v>423.3</v>
      </c>
      <c r="I146" s="275">
        <f t="shared" si="58"/>
        <v>1374.4</v>
      </c>
      <c r="J146" s="275">
        <v>1345.7</v>
      </c>
      <c r="K146" s="275">
        <v>1345.7</v>
      </c>
      <c r="L146" s="275">
        <v>1345.7</v>
      </c>
    </row>
    <row r="147" spans="1:15" s="43" customFormat="1" ht="90" x14ac:dyDescent="0.25">
      <c r="A147" s="41"/>
      <c r="B147" s="276"/>
      <c r="C147" s="273" t="s">
        <v>880</v>
      </c>
      <c r="D147" s="272" t="s">
        <v>886</v>
      </c>
      <c r="E147" s="224" t="s">
        <v>829</v>
      </c>
      <c r="F147" s="225" t="s">
        <v>430</v>
      </c>
      <c r="G147" s="279">
        <v>600</v>
      </c>
      <c r="H147" s="279">
        <v>328.9</v>
      </c>
      <c r="I147" s="275">
        <f t="shared" si="58"/>
        <v>600</v>
      </c>
      <c r="J147" s="275">
        <v>400</v>
      </c>
      <c r="K147" s="275">
        <v>0</v>
      </c>
      <c r="L147" s="275">
        <v>0</v>
      </c>
    </row>
    <row r="148" spans="1:15" s="43" customFormat="1" ht="78.75" customHeight="1" x14ac:dyDescent="0.25">
      <c r="A148" s="41"/>
      <c r="B148" s="276"/>
      <c r="C148" s="273" t="s">
        <v>895</v>
      </c>
      <c r="D148" s="272" t="s">
        <v>896</v>
      </c>
      <c r="E148" s="224" t="s">
        <v>729</v>
      </c>
      <c r="F148" s="225" t="s">
        <v>431</v>
      </c>
      <c r="G148" s="279">
        <v>3705.5</v>
      </c>
      <c r="H148" s="279">
        <v>3705.5</v>
      </c>
      <c r="I148" s="275">
        <f t="shared" si="58"/>
        <v>3705.5</v>
      </c>
      <c r="J148" s="275">
        <v>0</v>
      </c>
      <c r="K148" s="275">
        <v>0</v>
      </c>
      <c r="L148" s="275">
        <v>0</v>
      </c>
    </row>
    <row r="149" spans="1:15" s="43" customFormat="1" ht="78.75" customHeight="1" x14ac:dyDescent="0.25">
      <c r="A149" s="41"/>
      <c r="B149" s="276"/>
      <c r="C149" s="273" t="s">
        <v>735</v>
      </c>
      <c r="D149" s="60" t="s">
        <v>1015</v>
      </c>
      <c r="E149" s="274" t="s">
        <v>732</v>
      </c>
      <c r="F149" s="225" t="s">
        <v>442</v>
      </c>
      <c r="G149" s="279">
        <v>2454.4</v>
      </c>
      <c r="H149" s="279">
        <v>1636.2</v>
      </c>
      <c r="I149" s="275">
        <f t="shared" si="58"/>
        <v>2454.4</v>
      </c>
      <c r="J149" s="275">
        <v>2364.1</v>
      </c>
      <c r="K149" s="275">
        <v>2180.8000000000002</v>
      </c>
      <c r="L149" s="275">
        <v>2085.3000000000002</v>
      </c>
      <c r="M149" s="220"/>
      <c r="N149" s="220"/>
    </row>
    <row r="150" spans="1:15" s="43" customFormat="1" ht="78.75" customHeight="1" x14ac:dyDescent="0.25">
      <c r="A150" s="41"/>
      <c r="B150" s="276"/>
      <c r="C150" s="273" t="s">
        <v>735</v>
      </c>
      <c r="D150" s="272" t="s">
        <v>1010</v>
      </c>
      <c r="E150" s="274" t="s">
        <v>732</v>
      </c>
      <c r="F150" s="225" t="s">
        <v>443</v>
      </c>
      <c r="G150" s="279">
        <v>6361.1</v>
      </c>
      <c r="H150" s="279">
        <v>6361.1</v>
      </c>
      <c r="I150" s="275">
        <f t="shared" si="58"/>
        <v>6361.1</v>
      </c>
      <c r="J150" s="275">
        <v>4564.3</v>
      </c>
      <c r="K150" s="275">
        <v>4564.3</v>
      </c>
      <c r="L150" s="275">
        <v>4564.3</v>
      </c>
    </row>
    <row r="151" spans="1:15" s="43" customFormat="1" ht="90" x14ac:dyDescent="0.25">
      <c r="A151" s="41"/>
      <c r="B151" s="273"/>
      <c r="C151" s="273" t="s">
        <v>735</v>
      </c>
      <c r="D151" s="271" t="s">
        <v>901</v>
      </c>
      <c r="E151" s="274" t="s">
        <v>732</v>
      </c>
      <c r="F151" s="225" t="s">
        <v>447</v>
      </c>
      <c r="G151" s="279">
        <v>2710.3</v>
      </c>
      <c r="H151" s="279">
        <v>2415.3000000000002</v>
      </c>
      <c r="I151" s="275">
        <f t="shared" si="58"/>
        <v>2710.3</v>
      </c>
      <c r="J151" s="275">
        <v>3803.7</v>
      </c>
      <c r="K151" s="275">
        <v>3803.7</v>
      </c>
      <c r="L151" s="275">
        <v>3803.7</v>
      </c>
    </row>
    <row r="152" spans="1:15" s="43" customFormat="1" ht="57" customHeight="1" x14ac:dyDescent="0.25">
      <c r="A152" s="41"/>
      <c r="B152" s="273"/>
      <c r="C152" s="273" t="s">
        <v>735</v>
      </c>
      <c r="D152" s="273" t="s">
        <v>1018</v>
      </c>
      <c r="E152" s="274" t="s">
        <v>732</v>
      </c>
      <c r="F152" s="225" t="s">
        <v>450</v>
      </c>
      <c r="G152" s="279">
        <v>0</v>
      </c>
      <c r="H152" s="279">
        <v>0</v>
      </c>
      <c r="I152" s="275">
        <f t="shared" si="58"/>
        <v>0</v>
      </c>
      <c r="J152" s="275">
        <v>117986.1</v>
      </c>
      <c r="K152" s="275">
        <v>0</v>
      </c>
      <c r="L152" s="275">
        <v>0</v>
      </c>
    </row>
    <row r="153" spans="1:15" s="43" customFormat="1" ht="75" x14ac:dyDescent="0.25">
      <c r="A153" s="41"/>
      <c r="B153" s="273"/>
      <c r="C153" s="273" t="s">
        <v>916</v>
      </c>
      <c r="D153" s="271" t="s">
        <v>917</v>
      </c>
      <c r="E153" s="274" t="s">
        <v>755</v>
      </c>
      <c r="F153" s="225" t="s">
        <v>451</v>
      </c>
      <c r="G153" s="279">
        <v>8320</v>
      </c>
      <c r="H153" s="279">
        <v>8320</v>
      </c>
      <c r="I153" s="275">
        <f t="shared" si="58"/>
        <v>8320</v>
      </c>
      <c r="J153" s="275">
        <v>0</v>
      </c>
      <c r="K153" s="275">
        <v>0</v>
      </c>
      <c r="L153" s="275">
        <v>0</v>
      </c>
    </row>
    <row r="154" spans="1:15" s="43" customFormat="1" ht="90" x14ac:dyDescent="0.25">
      <c r="A154" s="41"/>
      <c r="B154" s="273"/>
      <c r="C154" s="273" t="s">
        <v>767</v>
      </c>
      <c r="D154" s="272" t="s">
        <v>490</v>
      </c>
      <c r="E154" s="274" t="s">
        <v>762</v>
      </c>
      <c r="F154" s="225" t="s">
        <v>460</v>
      </c>
      <c r="G154" s="279">
        <v>604.79999999999995</v>
      </c>
      <c r="H154" s="279">
        <v>604.79999999999995</v>
      </c>
      <c r="I154" s="275">
        <f t="shared" si="58"/>
        <v>604.79999999999995</v>
      </c>
      <c r="J154" s="275">
        <v>0</v>
      </c>
      <c r="K154" s="275">
        <v>0</v>
      </c>
      <c r="L154" s="275">
        <v>0</v>
      </c>
      <c r="M154" s="219"/>
      <c r="N154" s="219"/>
    </row>
    <row r="155" spans="1:15" s="43" customFormat="1" ht="90" x14ac:dyDescent="0.25">
      <c r="A155" s="41"/>
      <c r="B155" s="273"/>
      <c r="C155" s="273" t="s">
        <v>767</v>
      </c>
      <c r="D155" s="272" t="s">
        <v>1011</v>
      </c>
      <c r="E155" s="274" t="s">
        <v>762</v>
      </c>
      <c r="F155" s="225" t="s">
        <v>461</v>
      </c>
      <c r="G155" s="279">
        <v>26761.9</v>
      </c>
      <c r="H155" s="279">
        <v>26450.5</v>
      </c>
      <c r="I155" s="275">
        <f t="shared" si="58"/>
        <v>26761.9</v>
      </c>
      <c r="J155" s="275">
        <v>0</v>
      </c>
      <c r="K155" s="275">
        <v>0</v>
      </c>
      <c r="L155" s="275">
        <v>0</v>
      </c>
    </row>
    <row r="156" spans="1:15" s="43" customFormat="1" ht="90" x14ac:dyDescent="0.25">
      <c r="A156" s="41"/>
      <c r="B156" s="273"/>
      <c r="C156" s="273" t="s">
        <v>767</v>
      </c>
      <c r="D156" s="272" t="s">
        <v>1012</v>
      </c>
      <c r="E156" s="274" t="s">
        <v>762</v>
      </c>
      <c r="F156" s="225" t="s">
        <v>462</v>
      </c>
      <c r="G156" s="279">
        <v>12607.3</v>
      </c>
      <c r="H156" s="279">
        <v>12562</v>
      </c>
      <c r="I156" s="275">
        <f t="shared" si="58"/>
        <v>12607.3</v>
      </c>
      <c r="J156" s="275">
        <v>12607.3</v>
      </c>
      <c r="K156" s="275">
        <v>12607.3</v>
      </c>
      <c r="L156" s="275">
        <v>12607.3</v>
      </c>
      <c r="M156" s="220"/>
      <c r="N156" s="220"/>
      <c r="O156" s="220"/>
    </row>
    <row r="157" spans="1:15" s="43" customFormat="1" ht="90" x14ac:dyDescent="0.25">
      <c r="A157" s="41"/>
      <c r="B157" s="273"/>
      <c r="C157" s="273" t="s">
        <v>767</v>
      </c>
      <c r="D157" s="272" t="s">
        <v>1013</v>
      </c>
      <c r="E157" s="274" t="s">
        <v>762</v>
      </c>
      <c r="F157" s="225" t="s">
        <v>468</v>
      </c>
      <c r="G157" s="279">
        <v>3861.3</v>
      </c>
      <c r="H157" s="279">
        <v>0</v>
      </c>
      <c r="I157" s="275">
        <f t="shared" si="58"/>
        <v>3861.3</v>
      </c>
      <c r="J157" s="275">
        <v>3652.5</v>
      </c>
      <c r="K157" s="275">
        <v>0</v>
      </c>
      <c r="L157" s="275">
        <v>0</v>
      </c>
    </row>
    <row r="158" spans="1:15" s="43" customFormat="1" ht="90" x14ac:dyDescent="0.25">
      <c r="A158" s="41"/>
      <c r="B158" s="273"/>
      <c r="C158" s="273" t="s">
        <v>767</v>
      </c>
      <c r="D158" s="272" t="s">
        <v>1014</v>
      </c>
      <c r="E158" s="274" t="s">
        <v>762</v>
      </c>
      <c r="F158" s="225" t="s">
        <v>469</v>
      </c>
      <c r="G158" s="279">
        <v>5904.1</v>
      </c>
      <c r="H158" s="279">
        <v>1771.2</v>
      </c>
      <c r="I158" s="275">
        <f t="shared" si="58"/>
        <v>5904.1</v>
      </c>
      <c r="J158" s="275">
        <v>0</v>
      </c>
      <c r="K158" s="275">
        <v>20102.8</v>
      </c>
      <c r="L158" s="275">
        <v>0</v>
      </c>
    </row>
    <row r="159" spans="1:15" s="43" customFormat="1" ht="90" x14ac:dyDescent="0.25">
      <c r="A159" s="41"/>
      <c r="B159" s="273"/>
      <c r="C159" s="273" t="s">
        <v>767</v>
      </c>
      <c r="D159" s="272" t="s">
        <v>1016</v>
      </c>
      <c r="E159" s="274" t="s">
        <v>762</v>
      </c>
      <c r="F159" s="225" t="s">
        <v>470</v>
      </c>
      <c r="G159" s="279">
        <v>0</v>
      </c>
      <c r="H159" s="279">
        <v>0</v>
      </c>
      <c r="I159" s="275">
        <f t="shared" si="58"/>
        <v>0</v>
      </c>
      <c r="J159" s="275">
        <v>298.89999999999998</v>
      </c>
      <c r="K159" s="275">
        <v>892.2</v>
      </c>
      <c r="L159" s="275">
        <v>0</v>
      </c>
    </row>
    <row r="160" spans="1:15" s="47" customFormat="1" ht="90" x14ac:dyDescent="0.25">
      <c r="A160" s="41"/>
      <c r="B160" s="273"/>
      <c r="C160" s="273" t="s">
        <v>767</v>
      </c>
      <c r="D160" s="271" t="s">
        <v>1017</v>
      </c>
      <c r="E160" s="274" t="s">
        <v>762</v>
      </c>
      <c r="F160" s="225" t="s">
        <v>471</v>
      </c>
      <c r="G160" s="279">
        <v>798.6</v>
      </c>
      <c r="H160" s="279">
        <v>0</v>
      </c>
      <c r="I160" s="275">
        <f t="shared" si="58"/>
        <v>798.6</v>
      </c>
      <c r="J160" s="275">
        <v>0</v>
      </c>
      <c r="K160" s="275">
        <v>0</v>
      </c>
      <c r="L160" s="275">
        <v>0</v>
      </c>
    </row>
    <row r="161" spans="1:16" s="43" customFormat="1" ht="60" x14ac:dyDescent="0.25">
      <c r="A161" s="139"/>
      <c r="B161" s="273"/>
      <c r="C161" s="273" t="s">
        <v>771</v>
      </c>
      <c r="D161" s="272" t="s">
        <v>998</v>
      </c>
      <c r="E161" s="274" t="s">
        <v>770</v>
      </c>
      <c r="F161" s="225" t="s">
        <v>476</v>
      </c>
      <c r="G161" s="279">
        <v>2654</v>
      </c>
      <c r="H161" s="279">
        <v>2317.3000000000002</v>
      </c>
      <c r="I161" s="275">
        <f t="shared" si="58"/>
        <v>2654</v>
      </c>
      <c r="J161" s="275">
        <v>2867</v>
      </c>
      <c r="K161" s="275">
        <v>2867</v>
      </c>
      <c r="L161" s="275">
        <v>2867</v>
      </c>
      <c r="M161" s="220"/>
      <c r="N161" s="220"/>
    </row>
    <row r="162" spans="1:16" s="43" customFormat="1" ht="60" x14ac:dyDescent="0.25">
      <c r="A162" s="52"/>
      <c r="B162" s="273"/>
      <c r="C162" s="273" t="s">
        <v>771</v>
      </c>
      <c r="D162" s="272" t="s">
        <v>999</v>
      </c>
      <c r="E162" s="274" t="s">
        <v>770</v>
      </c>
      <c r="F162" s="225" t="s">
        <v>477</v>
      </c>
      <c r="G162" s="279">
        <v>2854.7</v>
      </c>
      <c r="H162" s="279">
        <v>2377</v>
      </c>
      <c r="I162" s="275">
        <f t="shared" si="58"/>
        <v>2854.7</v>
      </c>
      <c r="J162" s="275">
        <v>0</v>
      </c>
      <c r="K162" s="275">
        <v>0</v>
      </c>
      <c r="L162" s="275">
        <v>0</v>
      </c>
      <c r="M162" s="83"/>
      <c r="N162" s="83"/>
      <c r="O162" s="83"/>
    </row>
    <row r="163" spans="1:16" s="43" customFormat="1" ht="29.25" x14ac:dyDescent="0.25">
      <c r="A163" s="41"/>
      <c r="B163" s="136" t="s">
        <v>227</v>
      </c>
      <c r="C163" s="136" t="s">
        <v>264</v>
      </c>
      <c r="D163" s="136" t="s">
        <v>227</v>
      </c>
      <c r="E163" s="137"/>
      <c r="F163" s="225" t="s">
        <v>478</v>
      </c>
      <c r="G163" s="266">
        <f t="shared" ref="G163:L163" si="59">G164+G180+G182+G184+G186+G188+G179</f>
        <v>415341.3000000001</v>
      </c>
      <c r="H163" s="266">
        <f t="shared" si="59"/>
        <v>322206.10000000003</v>
      </c>
      <c r="I163" s="266">
        <f t="shared" si="59"/>
        <v>415341.3000000001</v>
      </c>
      <c r="J163" s="266">
        <f t="shared" si="59"/>
        <v>427883.39999999997</v>
      </c>
      <c r="K163" s="266">
        <f t="shared" si="59"/>
        <v>429496.9</v>
      </c>
      <c r="L163" s="266">
        <f t="shared" si="59"/>
        <v>429168.89999999991</v>
      </c>
      <c r="O163" s="219"/>
      <c r="P163" s="219"/>
    </row>
    <row r="164" spans="1:16" s="43" customFormat="1" ht="45" x14ac:dyDescent="0.25">
      <c r="A164" s="41"/>
      <c r="B164" s="53"/>
      <c r="C164" s="53" t="s">
        <v>747</v>
      </c>
      <c r="D164" s="53" t="s">
        <v>748</v>
      </c>
      <c r="E164" s="54"/>
      <c r="F164" s="225" t="s">
        <v>479</v>
      </c>
      <c r="G164" s="265">
        <f t="shared" ref="G164:L164" si="60">SUM(G165:G178)</f>
        <v>343184.70000000007</v>
      </c>
      <c r="H164" s="265">
        <f t="shared" si="60"/>
        <v>283912.10000000003</v>
      </c>
      <c r="I164" s="265">
        <f t="shared" si="60"/>
        <v>343184.70000000007</v>
      </c>
      <c r="J164" s="265">
        <f t="shared" si="60"/>
        <v>393638.1</v>
      </c>
      <c r="K164" s="265">
        <f t="shared" si="60"/>
        <v>395018</v>
      </c>
      <c r="L164" s="265">
        <f t="shared" si="60"/>
        <v>394710.49999999994</v>
      </c>
    </row>
    <row r="165" spans="1:16" s="43" customFormat="1" ht="75" x14ac:dyDescent="0.25">
      <c r="A165" s="41"/>
      <c r="B165" s="35"/>
      <c r="C165" s="273" t="s">
        <v>746</v>
      </c>
      <c r="D165" s="272" t="s">
        <v>902</v>
      </c>
      <c r="E165" s="274" t="s">
        <v>732</v>
      </c>
      <c r="F165" s="225" t="s">
        <v>480</v>
      </c>
      <c r="G165" s="279">
        <v>260.39999999999998</v>
      </c>
      <c r="H165" s="279">
        <v>128.4</v>
      </c>
      <c r="I165" s="280">
        <f>SUM(G165)</f>
        <v>260.39999999999998</v>
      </c>
      <c r="J165" s="275"/>
      <c r="K165" s="275"/>
      <c r="L165" s="275"/>
      <c r="M165" s="217"/>
      <c r="N165" s="217"/>
    </row>
    <row r="166" spans="1:16" s="43" customFormat="1" ht="75" x14ac:dyDescent="0.25">
      <c r="A166" s="41"/>
      <c r="B166" s="35"/>
      <c r="C166" s="273" t="s">
        <v>746</v>
      </c>
      <c r="D166" s="272" t="s">
        <v>903</v>
      </c>
      <c r="E166" s="274" t="s">
        <v>732</v>
      </c>
      <c r="F166" s="225" t="s">
        <v>481</v>
      </c>
      <c r="G166" s="279">
        <v>1019.3</v>
      </c>
      <c r="H166" s="279">
        <v>1019.3</v>
      </c>
      <c r="I166" s="280">
        <f t="shared" ref="I166:I189" si="61">SUM(G166)</f>
        <v>1019.3</v>
      </c>
      <c r="J166" s="280">
        <v>1121.5</v>
      </c>
      <c r="K166" s="280">
        <v>1121.5</v>
      </c>
      <c r="L166" s="280">
        <v>1121.5</v>
      </c>
      <c r="M166" s="142"/>
    </row>
    <row r="167" spans="1:16" s="43" customFormat="1" ht="75" x14ac:dyDescent="0.25">
      <c r="A167" s="41"/>
      <c r="B167" s="35"/>
      <c r="C167" s="273" t="s">
        <v>746</v>
      </c>
      <c r="D167" s="272" t="s">
        <v>1020</v>
      </c>
      <c r="E167" s="274" t="s">
        <v>318</v>
      </c>
      <c r="F167" s="225" t="s">
        <v>482</v>
      </c>
      <c r="G167" s="279">
        <v>337014.6</v>
      </c>
      <c r="H167" s="279">
        <v>278735.5</v>
      </c>
      <c r="I167" s="280">
        <f t="shared" si="61"/>
        <v>337014.6</v>
      </c>
      <c r="J167" s="280">
        <v>377991.1</v>
      </c>
      <c r="K167" s="280">
        <v>377991.1</v>
      </c>
      <c r="L167" s="280">
        <v>377991.1</v>
      </c>
      <c r="M167" s="295"/>
      <c r="N167" s="295"/>
      <c r="O167" s="295"/>
    </row>
    <row r="168" spans="1:16" s="43" customFormat="1" ht="75" x14ac:dyDescent="0.25">
      <c r="A168" s="41"/>
      <c r="B168" s="35"/>
      <c r="C168" s="273" t="s">
        <v>746</v>
      </c>
      <c r="D168" s="272" t="s">
        <v>904</v>
      </c>
      <c r="E168" s="274" t="s">
        <v>732</v>
      </c>
      <c r="F168" s="225" t="s">
        <v>483</v>
      </c>
      <c r="G168" s="279">
        <v>354</v>
      </c>
      <c r="H168" s="279">
        <v>0</v>
      </c>
      <c r="I168" s="280">
        <f t="shared" si="61"/>
        <v>354</v>
      </c>
      <c r="J168" s="280">
        <v>515.5</v>
      </c>
      <c r="K168" s="280">
        <v>515.5</v>
      </c>
      <c r="L168" s="280">
        <v>515.5</v>
      </c>
      <c r="M168" s="142"/>
    </row>
    <row r="169" spans="1:16" s="43" customFormat="1" ht="90" x14ac:dyDescent="0.25">
      <c r="A169" s="41"/>
      <c r="B169" s="35"/>
      <c r="C169" s="273" t="s">
        <v>746</v>
      </c>
      <c r="D169" s="271" t="s">
        <v>922</v>
      </c>
      <c r="E169" s="274" t="s">
        <v>732</v>
      </c>
      <c r="F169" s="225" t="s">
        <v>484</v>
      </c>
      <c r="G169" s="279">
        <v>919.9</v>
      </c>
      <c r="H169" s="279">
        <v>709.9</v>
      </c>
      <c r="I169" s="280">
        <f t="shared" si="61"/>
        <v>919.9</v>
      </c>
      <c r="J169" s="280">
        <v>1076.7</v>
      </c>
      <c r="K169" s="280">
        <v>1076.7</v>
      </c>
      <c r="L169" s="280">
        <v>1076.7</v>
      </c>
      <c r="M169" s="142"/>
    </row>
    <row r="170" spans="1:16" s="43" customFormat="1" ht="75" x14ac:dyDescent="0.25">
      <c r="A170" s="41"/>
      <c r="B170" s="35"/>
      <c r="C170" s="273" t="s">
        <v>746</v>
      </c>
      <c r="D170" s="272" t="s">
        <v>921</v>
      </c>
      <c r="E170" s="274" t="s">
        <v>732</v>
      </c>
      <c r="F170" s="225" t="s">
        <v>485</v>
      </c>
      <c r="G170" s="279">
        <v>646.79999999999995</v>
      </c>
      <c r="H170" s="279">
        <v>646.79999999999995</v>
      </c>
      <c r="I170" s="280">
        <f t="shared" si="61"/>
        <v>646.79999999999995</v>
      </c>
      <c r="J170" s="280">
        <v>716.6</v>
      </c>
      <c r="K170" s="280">
        <v>716.6</v>
      </c>
      <c r="L170" s="280">
        <v>716.6</v>
      </c>
      <c r="M170" s="142"/>
    </row>
    <row r="171" spans="1:16" s="43" customFormat="1" ht="75" x14ac:dyDescent="0.25">
      <c r="A171" s="41"/>
      <c r="B171" s="35"/>
      <c r="C171" s="273" t="s">
        <v>754</v>
      </c>
      <c r="D171" s="272" t="s">
        <v>918</v>
      </c>
      <c r="E171" s="274" t="s">
        <v>755</v>
      </c>
      <c r="F171" s="225" t="s">
        <v>486</v>
      </c>
      <c r="G171" s="279">
        <v>150.80000000000001</v>
      </c>
      <c r="H171" s="279">
        <v>0</v>
      </c>
      <c r="I171" s="280">
        <f t="shared" si="61"/>
        <v>150.80000000000001</v>
      </c>
      <c r="J171" s="280">
        <v>1015.8</v>
      </c>
      <c r="K171" s="280">
        <v>1027</v>
      </c>
      <c r="L171" s="280">
        <v>1045.2</v>
      </c>
      <c r="M171" s="142"/>
    </row>
    <row r="172" spans="1:16" s="43" customFormat="1" ht="75" x14ac:dyDescent="0.25">
      <c r="A172" s="41"/>
      <c r="B172" s="35"/>
      <c r="C172" s="273" t="s">
        <v>754</v>
      </c>
      <c r="D172" s="272" t="s">
        <v>1019</v>
      </c>
      <c r="E172" s="274" t="s">
        <v>755</v>
      </c>
      <c r="F172" s="225" t="s">
        <v>487</v>
      </c>
      <c r="G172" s="279">
        <v>0</v>
      </c>
      <c r="H172" s="279">
        <v>0</v>
      </c>
      <c r="I172" s="280">
        <f t="shared" si="61"/>
        <v>0</v>
      </c>
      <c r="J172" s="280">
        <v>2211.9</v>
      </c>
      <c r="K172" s="280">
        <v>2329.4</v>
      </c>
      <c r="L172" s="280">
        <v>2346.1</v>
      </c>
      <c r="M172" s="142"/>
    </row>
    <row r="173" spans="1:16" s="43" customFormat="1" ht="75" x14ac:dyDescent="0.25">
      <c r="A173" s="41"/>
      <c r="B173" s="35"/>
      <c r="C173" s="273" t="s">
        <v>754</v>
      </c>
      <c r="D173" s="272" t="s">
        <v>597</v>
      </c>
      <c r="E173" s="274" t="s">
        <v>755</v>
      </c>
      <c r="F173" s="225" t="s">
        <v>499</v>
      </c>
      <c r="G173" s="279">
        <v>0</v>
      </c>
      <c r="H173" s="279">
        <v>0</v>
      </c>
      <c r="I173" s="280">
        <f t="shared" si="61"/>
        <v>0</v>
      </c>
      <c r="J173" s="280">
        <v>3664.7</v>
      </c>
      <c r="K173" s="280">
        <v>4696.8999999999996</v>
      </c>
      <c r="L173" s="280">
        <v>4330.5</v>
      </c>
      <c r="M173" s="142"/>
    </row>
    <row r="174" spans="1:16" s="43" customFormat="1" ht="75" x14ac:dyDescent="0.25">
      <c r="A174" s="41"/>
      <c r="B174" s="35"/>
      <c r="C174" s="273" t="s">
        <v>754</v>
      </c>
      <c r="D174" s="272" t="s">
        <v>919</v>
      </c>
      <c r="E174" s="274" t="s">
        <v>755</v>
      </c>
      <c r="F174" s="225" t="s">
        <v>500</v>
      </c>
      <c r="G174" s="279">
        <v>1114.9000000000001</v>
      </c>
      <c r="H174" s="279">
        <v>1090</v>
      </c>
      <c r="I174" s="280">
        <f t="shared" si="61"/>
        <v>1114.9000000000001</v>
      </c>
      <c r="J174" s="280">
        <v>2131.3000000000002</v>
      </c>
      <c r="K174" s="280">
        <v>2517.6999999999998</v>
      </c>
      <c r="L174" s="280">
        <v>2541.6999999999998</v>
      </c>
      <c r="M174" s="142"/>
    </row>
    <row r="175" spans="1:16" s="43" customFormat="1" ht="75" x14ac:dyDescent="0.25">
      <c r="A175" s="41"/>
      <c r="B175" s="35"/>
      <c r="C175" s="273" t="s">
        <v>754</v>
      </c>
      <c r="D175" s="272" t="s">
        <v>920</v>
      </c>
      <c r="E175" s="274" t="s">
        <v>755</v>
      </c>
      <c r="F175" s="225" t="s">
        <v>503</v>
      </c>
      <c r="G175" s="279">
        <v>1378.2</v>
      </c>
      <c r="H175" s="279">
        <v>1329.3</v>
      </c>
      <c r="I175" s="280">
        <f t="shared" si="61"/>
        <v>1378.2</v>
      </c>
      <c r="J175" s="280">
        <v>1841.7</v>
      </c>
      <c r="K175" s="280">
        <v>1674.3</v>
      </c>
      <c r="L175" s="280">
        <v>1674.3</v>
      </c>
      <c r="M175" s="142"/>
    </row>
    <row r="176" spans="1:16" s="43" customFormat="1" ht="75" x14ac:dyDescent="0.25">
      <c r="A176" s="41"/>
      <c r="B176" s="35"/>
      <c r="C176" s="273" t="s">
        <v>754</v>
      </c>
      <c r="D176" s="272" t="s">
        <v>923</v>
      </c>
      <c r="E176" s="274" t="s">
        <v>755</v>
      </c>
      <c r="F176" s="225" t="s">
        <v>608</v>
      </c>
      <c r="G176" s="279">
        <v>144.9</v>
      </c>
      <c r="H176" s="279">
        <v>144.9</v>
      </c>
      <c r="I176" s="280">
        <f t="shared" si="61"/>
        <v>144.9</v>
      </c>
      <c r="J176" s="280">
        <v>155.80000000000001</v>
      </c>
      <c r="K176" s="280">
        <v>155.80000000000001</v>
      </c>
      <c r="L176" s="280">
        <v>155.80000000000001</v>
      </c>
      <c r="M176" s="142"/>
    </row>
    <row r="177" spans="1:15" s="43" customFormat="1" ht="75" x14ac:dyDescent="0.25">
      <c r="A177" s="41"/>
      <c r="B177" s="35"/>
      <c r="C177" s="273" t="s">
        <v>754</v>
      </c>
      <c r="D177" s="272" t="s">
        <v>924</v>
      </c>
      <c r="E177" s="274" t="s">
        <v>755</v>
      </c>
      <c r="F177" s="225" t="s">
        <v>609</v>
      </c>
      <c r="G177" s="279">
        <v>136</v>
      </c>
      <c r="H177" s="279">
        <v>108</v>
      </c>
      <c r="I177" s="280">
        <f t="shared" si="61"/>
        <v>136</v>
      </c>
      <c r="J177" s="280">
        <v>1150.5999999999999</v>
      </c>
      <c r="K177" s="280">
        <v>1150.5999999999999</v>
      </c>
      <c r="L177" s="280">
        <v>1150.5999999999999</v>
      </c>
      <c r="M177" s="142"/>
    </row>
    <row r="178" spans="1:15" s="43" customFormat="1" ht="90" x14ac:dyDescent="0.25">
      <c r="A178" s="41"/>
      <c r="B178" s="35"/>
      <c r="C178" s="273" t="s">
        <v>945</v>
      </c>
      <c r="D178" s="271" t="s">
        <v>946</v>
      </c>
      <c r="E178" s="274" t="s">
        <v>762</v>
      </c>
      <c r="F178" s="225" t="s">
        <v>610</v>
      </c>
      <c r="G178" s="280">
        <v>44.9</v>
      </c>
      <c r="H178" s="280">
        <v>0</v>
      </c>
      <c r="I178" s="280">
        <f t="shared" si="61"/>
        <v>44.9</v>
      </c>
      <c r="J178" s="280">
        <v>44.9</v>
      </c>
      <c r="K178" s="280">
        <v>44.9</v>
      </c>
      <c r="L178" s="280">
        <v>44.9</v>
      </c>
      <c r="M178" s="142"/>
    </row>
    <row r="179" spans="1:15" s="43" customFormat="1" ht="90" x14ac:dyDescent="0.25">
      <c r="A179" s="41"/>
      <c r="B179" s="35"/>
      <c r="C179" s="273" t="s">
        <v>947</v>
      </c>
      <c r="D179" s="272" t="s">
        <v>948</v>
      </c>
      <c r="E179" s="274" t="s">
        <v>762</v>
      </c>
      <c r="F179" s="225" t="s">
        <v>611</v>
      </c>
      <c r="G179" s="275">
        <v>39900</v>
      </c>
      <c r="H179" s="275">
        <v>11930.1</v>
      </c>
      <c r="I179" s="280">
        <f t="shared" si="61"/>
        <v>39900</v>
      </c>
      <c r="J179" s="275">
        <v>22800</v>
      </c>
      <c r="K179" s="275">
        <v>22800</v>
      </c>
      <c r="L179" s="275">
        <v>22800</v>
      </c>
    </row>
    <row r="180" spans="1:15" s="55" customFormat="1" ht="86.25" x14ac:dyDescent="0.25">
      <c r="A180" s="52"/>
      <c r="B180" s="53"/>
      <c r="C180" s="276" t="s">
        <v>751</v>
      </c>
      <c r="D180" s="229" t="s">
        <v>1005</v>
      </c>
      <c r="E180" s="277"/>
      <c r="F180" s="225" t="s">
        <v>612</v>
      </c>
      <c r="G180" s="278">
        <f>G181</f>
        <v>1813.2</v>
      </c>
      <c r="H180" s="278">
        <f t="shared" ref="H180:L180" si="62">H181</f>
        <v>1813.2</v>
      </c>
      <c r="I180" s="280">
        <f t="shared" si="61"/>
        <v>1813.2</v>
      </c>
      <c r="J180" s="278">
        <f t="shared" si="62"/>
        <v>1798.3</v>
      </c>
      <c r="K180" s="278">
        <f t="shared" si="62"/>
        <v>1798.3</v>
      </c>
      <c r="L180" s="278">
        <f t="shared" si="62"/>
        <v>1798.3</v>
      </c>
    </row>
    <row r="181" spans="1:15" s="43" customFormat="1" ht="90" x14ac:dyDescent="0.25">
      <c r="A181" s="41"/>
      <c r="B181" s="35"/>
      <c r="C181" s="273" t="s">
        <v>905</v>
      </c>
      <c r="D181" s="273" t="s">
        <v>906</v>
      </c>
      <c r="E181" s="274" t="s">
        <v>732</v>
      </c>
      <c r="F181" s="225" t="s">
        <v>613</v>
      </c>
      <c r="G181" s="280">
        <v>1813.2</v>
      </c>
      <c r="H181" s="280">
        <v>1813.2</v>
      </c>
      <c r="I181" s="280">
        <f t="shared" si="61"/>
        <v>1813.2</v>
      </c>
      <c r="J181" s="280">
        <v>1798.3</v>
      </c>
      <c r="K181" s="280">
        <v>1798.3</v>
      </c>
      <c r="L181" s="280">
        <v>1798.3</v>
      </c>
    </row>
    <row r="182" spans="1:15" s="55" customFormat="1" ht="60" x14ac:dyDescent="0.25">
      <c r="A182" s="52"/>
      <c r="B182" s="53"/>
      <c r="C182" s="276" t="s">
        <v>744</v>
      </c>
      <c r="D182" s="276" t="s">
        <v>745</v>
      </c>
      <c r="E182" s="277"/>
      <c r="F182" s="225" t="s">
        <v>614</v>
      </c>
      <c r="G182" s="281">
        <f>G183</f>
        <v>21470.1</v>
      </c>
      <c r="H182" s="281">
        <f t="shared" ref="H182:L182" si="63">H183</f>
        <v>16124</v>
      </c>
      <c r="I182" s="280">
        <f t="shared" si="61"/>
        <v>21470.1</v>
      </c>
      <c r="J182" s="281">
        <f t="shared" si="63"/>
        <v>0</v>
      </c>
      <c r="K182" s="281">
        <f t="shared" si="63"/>
        <v>0</v>
      </c>
      <c r="L182" s="281">
        <f t="shared" si="63"/>
        <v>0</v>
      </c>
      <c r="M182" s="191"/>
    </row>
    <row r="183" spans="1:15" s="47" customFormat="1" ht="75" x14ac:dyDescent="0.25">
      <c r="A183" s="41"/>
      <c r="B183" s="35"/>
      <c r="C183" s="273" t="s">
        <v>908</v>
      </c>
      <c r="D183" s="272" t="s">
        <v>907</v>
      </c>
      <c r="E183" s="274" t="s">
        <v>732</v>
      </c>
      <c r="F183" s="225" t="s">
        <v>615</v>
      </c>
      <c r="G183" s="280">
        <v>21470.1</v>
      </c>
      <c r="H183" s="280">
        <v>16124</v>
      </c>
      <c r="I183" s="280">
        <f t="shared" si="61"/>
        <v>21470.1</v>
      </c>
      <c r="J183" s="280">
        <v>0</v>
      </c>
      <c r="K183" s="280">
        <v>0</v>
      </c>
      <c r="L183" s="280">
        <v>0</v>
      </c>
    </row>
    <row r="184" spans="1:15" s="55" customFormat="1" ht="75" x14ac:dyDescent="0.25">
      <c r="A184" s="52"/>
      <c r="B184" s="53"/>
      <c r="C184" s="276" t="s">
        <v>743</v>
      </c>
      <c r="D184" s="276" t="s">
        <v>737</v>
      </c>
      <c r="E184" s="277"/>
      <c r="F184" s="225" t="s">
        <v>616</v>
      </c>
      <c r="G184" s="281">
        <f>G185</f>
        <v>1427.2</v>
      </c>
      <c r="H184" s="281">
        <f t="shared" ref="H184:L184" si="64">H185</f>
        <v>890</v>
      </c>
      <c r="I184" s="280">
        <f t="shared" si="61"/>
        <v>1427.2</v>
      </c>
      <c r="J184" s="281">
        <f t="shared" si="64"/>
        <v>1610.8</v>
      </c>
      <c r="K184" s="281">
        <f t="shared" si="64"/>
        <v>1761.7</v>
      </c>
      <c r="L184" s="281">
        <f t="shared" si="64"/>
        <v>1824.1</v>
      </c>
    </row>
    <row r="185" spans="1:15" s="43" customFormat="1" ht="75" x14ac:dyDescent="0.25">
      <c r="A185" s="41"/>
      <c r="B185" s="35"/>
      <c r="C185" s="273" t="s">
        <v>865</v>
      </c>
      <c r="D185" s="273" t="s">
        <v>737</v>
      </c>
      <c r="E185" s="274" t="s">
        <v>371</v>
      </c>
      <c r="F185" s="225" t="s">
        <v>617</v>
      </c>
      <c r="G185" s="280">
        <v>1427.2</v>
      </c>
      <c r="H185" s="280">
        <v>890</v>
      </c>
      <c r="I185" s="280">
        <f t="shared" si="61"/>
        <v>1427.2</v>
      </c>
      <c r="J185" s="275">
        <v>1610.8</v>
      </c>
      <c r="K185" s="275">
        <v>1761.7</v>
      </c>
      <c r="L185" s="275">
        <v>1824.1</v>
      </c>
      <c r="N185" s="56"/>
      <c r="O185" s="56"/>
    </row>
    <row r="186" spans="1:15" s="55" customFormat="1" ht="60" x14ac:dyDescent="0.25">
      <c r="A186" s="52"/>
      <c r="B186" s="53"/>
      <c r="C186" s="276" t="s">
        <v>741</v>
      </c>
      <c r="D186" s="232" t="s">
        <v>1000</v>
      </c>
      <c r="E186" s="277"/>
      <c r="F186" s="225" t="s">
        <v>618</v>
      </c>
      <c r="G186" s="281">
        <f>G187</f>
        <v>9.4</v>
      </c>
      <c r="H186" s="281">
        <f t="shared" ref="H186:L186" si="65">H187</f>
        <v>0</v>
      </c>
      <c r="I186" s="280">
        <f t="shared" si="61"/>
        <v>9.4</v>
      </c>
      <c r="J186" s="281">
        <f t="shared" si="65"/>
        <v>10.199999999999999</v>
      </c>
      <c r="K186" s="281">
        <f t="shared" si="65"/>
        <v>92.9</v>
      </c>
      <c r="L186" s="281">
        <f t="shared" si="65"/>
        <v>10</v>
      </c>
      <c r="N186" s="146"/>
      <c r="O186" s="146"/>
    </row>
    <row r="187" spans="1:15" s="43" customFormat="1" ht="75" x14ac:dyDescent="0.25">
      <c r="A187" s="41"/>
      <c r="B187" s="35"/>
      <c r="C187" s="273" t="s">
        <v>777</v>
      </c>
      <c r="D187" s="235" t="s">
        <v>775</v>
      </c>
      <c r="E187" s="274" t="s">
        <v>778</v>
      </c>
      <c r="F187" s="225" t="s">
        <v>619</v>
      </c>
      <c r="G187" s="275">
        <v>9.4</v>
      </c>
      <c r="H187" s="275">
        <v>0</v>
      </c>
      <c r="I187" s="280">
        <f t="shared" si="61"/>
        <v>9.4</v>
      </c>
      <c r="J187" s="275">
        <v>10.199999999999999</v>
      </c>
      <c r="K187" s="275">
        <v>92.9</v>
      </c>
      <c r="L187" s="275">
        <v>10</v>
      </c>
      <c r="N187" s="56"/>
      <c r="O187" s="56"/>
    </row>
    <row r="188" spans="1:15" s="43" customFormat="1" x14ac:dyDescent="0.25">
      <c r="A188" s="138"/>
      <c r="B188" s="53"/>
      <c r="C188" s="276" t="s">
        <v>740</v>
      </c>
      <c r="D188" s="276" t="s">
        <v>1004</v>
      </c>
      <c r="E188" s="277"/>
      <c r="F188" s="225" t="s">
        <v>620</v>
      </c>
      <c r="G188" s="278">
        <f>G189</f>
        <v>7536.7</v>
      </c>
      <c r="H188" s="278">
        <f t="shared" ref="H188:L188" si="66">H189</f>
        <v>7536.7</v>
      </c>
      <c r="I188" s="280">
        <f t="shared" si="61"/>
        <v>7536.7</v>
      </c>
      <c r="J188" s="278">
        <f t="shared" si="66"/>
        <v>8026</v>
      </c>
      <c r="K188" s="278">
        <f t="shared" si="66"/>
        <v>8026</v>
      </c>
      <c r="L188" s="278">
        <f t="shared" si="66"/>
        <v>8026</v>
      </c>
    </row>
    <row r="189" spans="1:15" s="142" customFormat="1" ht="61.5" customHeight="1" x14ac:dyDescent="0.25">
      <c r="A189" s="139"/>
      <c r="B189" s="35"/>
      <c r="C189" s="273" t="s">
        <v>866</v>
      </c>
      <c r="D189" s="282" t="s">
        <v>867</v>
      </c>
      <c r="E189" s="274" t="s">
        <v>726</v>
      </c>
      <c r="F189" s="225" t="s">
        <v>621</v>
      </c>
      <c r="G189" s="275">
        <v>7536.7</v>
      </c>
      <c r="H189" s="275">
        <v>7536.7</v>
      </c>
      <c r="I189" s="280">
        <f t="shared" si="61"/>
        <v>7536.7</v>
      </c>
      <c r="J189" s="275">
        <v>8026</v>
      </c>
      <c r="K189" s="275">
        <v>8026</v>
      </c>
      <c r="L189" s="275">
        <v>8026</v>
      </c>
    </row>
    <row r="190" spans="1:15" s="43" customFormat="1" ht="29.25" x14ac:dyDescent="0.25">
      <c r="A190" s="41"/>
      <c r="B190" s="136" t="s">
        <v>229</v>
      </c>
      <c r="C190" s="136" t="s">
        <v>270</v>
      </c>
      <c r="D190" s="136" t="s">
        <v>229</v>
      </c>
      <c r="E190" s="137"/>
      <c r="F190" s="225" t="s">
        <v>622</v>
      </c>
      <c r="G190" s="266">
        <f>SUM(G191:G192)</f>
        <v>41354.600000000006</v>
      </c>
      <c r="H190" s="266">
        <f t="shared" ref="H190:L190" si="67">SUM(H191:H192)</f>
        <v>40557.9</v>
      </c>
      <c r="I190" s="266">
        <f t="shared" si="67"/>
        <v>41354.600000000006</v>
      </c>
      <c r="J190" s="266">
        <f t="shared" si="67"/>
        <v>135.1</v>
      </c>
      <c r="K190" s="266">
        <f t="shared" si="67"/>
        <v>773.8</v>
      </c>
      <c r="L190" s="266">
        <f t="shared" si="67"/>
        <v>773.8</v>
      </c>
    </row>
    <row r="191" spans="1:15" s="43" customFormat="1" ht="90" x14ac:dyDescent="0.25">
      <c r="A191" s="41"/>
      <c r="B191" s="35"/>
      <c r="C191" s="273" t="s">
        <v>838</v>
      </c>
      <c r="D191" s="273" t="s">
        <v>909</v>
      </c>
      <c r="E191" s="274" t="s">
        <v>732</v>
      </c>
      <c r="F191" s="225" t="s">
        <v>623</v>
      </c>
      <c r="G191" s="280">
        <v>2328.8000000000002</v>
      </c>
      <c r="H191" s="280">
        <v>1825.9</v>
      </c>
      <c r="I191" s="213">
        <f>SUM(G191)</f>
        <v>2328.8000000000002</v>
      </c>
      <c r="J191" s="213">
        <v>93.2</v>
      </c>
      <c r="K191" s="213">
        <v>731.9</v>
      </c>
      <c r="L191" s="213">
        <v>731.9</v>
      </c>
    </row>
    <row r="192" spans="1:15" s="43" customFormat="1" ht="29.25" x14ac:dyDescent="0.25">
      <c r="A192" s="41"/>
      <c r="B192" s="45"/>
      <c r="C192" s="283" t="s">
        <v>782</v>
      </c>
      <c r="D192" s="283" t="s">
        <v>783</v>
      </c>
      <c r="E192" s="284"/>
      <c r="F192" s="225" t="s">
        <v>624</v>
      </c>
      <c r="G192" s="285">
        <f>SUM(G193:G198)</f>
        <v>39025.800000000003</v>
      </c>
      <c r="H192" s="285">
        <f>SUM(H193:H198)</f>
        <v>38732</v>
      </c>
      <c r="I192" s="213">
        <f t="shared" ref="I192:I198" si="68">SUM(G192)</f>
        <v>39025.800000000003</v>
      </c>
      <c r="J192" s="267">
        <f>SUM(J193:J198)</f>
        <v>41.9</v>
      </c>
      <c r="K192" s="267">
        <f>SUM(K193:K198)</f>
        <v>41.9</v>
      </c>
      <c r="L192" s="267">
        <f>SUM(L193:L198)</f>
        <v>41.9</v>
      </c>
    </row>
    <row r="193" spans="1:16" s="43" customFormat="1" ht="75" x14ac:dyDescent="0.25">
      <c r="A193" s="41"/>
      <c r="B193" s="35"/>
      <c r="C193" s="273" t="s">
        <v>869</v>
      </c>
      <c r="D193" s="282" t="s">
        <v>868</v>
      </c>
      <c r="E193" s="274" t="s">
        <v>371</v>
      </c>
      <c r="F193" s="225" t="s">
        <v>625</v>
      </c>
      <c r="G193" s="275">
        <v>15784.7</v>
      </c>
      <c r="H193" s="275">
        <v>15784.7</v>
      </c>
      <c r="I193" s="213">
        <f t="shared" si="68"/>
        <v>15784.7</v>
      </c>
      <c r="J193" s="213">
        <v>0</v>
      </c>
      <c r="K193" s="213">
        <v>0</v>
      </c>
      <c r="L193" s="213">
        <v>0</v>
      </c>
      <c r="M193" s="385"/>
      <c r="N193" s="386"/>
      <c r="O193" s="386"/>
      <c r="P193" s="386"/>
    </row>
    <row r="194" spans="1:16" s="43" customFormat="1" ht="90" x14ac:dyDescent="0.25">
      <c r="A194" s="41"/>
      <c r="B194" s="35"/>
      <c r="C194" s="273" t="s">
        <v>897</v>
      </c>
      <c r="D194" s="272" t="s">
        <v>898</v>
      </c>
      <c r="E194" s="224" t="s">
        <v>729</v>
      </c>
      <c r="F194" s="225" t="s">
        <v>626</v>
      </c>
      <c r="G194" s="275">
        <v>10000</v>
      </c>
      <c r="H194" s="275">
        <v>10000</v>
      </c>
      <c r="I194" s="213">
        <f t="shared" si="68"/>
        <v>10000</v>
      </c>
      <c r="J194" s="213">
        <v>0</v>
      </c>
      <c r="K194" s="213">
        <v>0</v>
      </c>
      <c r="L194" s="213">
        <v>0</v>
      </c>
    </row>
    <row r="195" spans="1:16" s="43" customFormat="1" ht="90" x14ac:dyDescent="0.25">
      <c r="A195" s="201"/>
      <c r="B195" s="35"/>
      <c r="C195" s="273" t="s">
        <v>950</v>
      </c>
      <c r="D195" s="272" t="s">
        <v>949</v>
      </c>
      <c r="E195" s="274" t="s">
        <v>762</v>
      </c>
      <c r="F195" s="225" t="s">
        <v>627</v>
      </c>
      <c r="G195" s="275">
        <v>41.9</v>
      </c>
      <c r="H195" s="275">
        <v>0</v>
      </c>
      <c r="I195" s="213">
        <f t="shared" si="68"/>
        <v>41.9</v>
      </c>
      <c r="J195" s="213">
        <v>41.9</v>
      </c>
      <c r="K195" s="213">
        <v>41.9</v>
      </c>
      <c r="L195" s="213">
        <v>41.9</v>
      </c>
    </row>
    <row r="196" spans="1:16" s="43" customFormat="1" ht="75" x14ac:dyDescent="0.25">
      <c r="A196" s="201"/>
      <c r="B196" s="35"/>
      <c r="C196" s="273" t="s">
        <v>831</v>
      </c>
      <c r="D196" s="273" t="s">
        <v>792</v>
      </c>
      <c r="E196" s="274" t="s">
        <v>732</v>
      </c>
      <c r="F196" s="225" t="s">
        <v>628</v>
      </c>
      <c r="G196" s="275">
        <v>1556</v>
      </c>
      <c r="H196" s="275">
        <v>1304.0999999999999</v>
      </c>
      <c r="I196" s="213">
        <f t="shared" si="68"/>
        <v>1556</v>
      </c>
      <c r="J196" s="213">
        <v>0</v>
      </c>
      <c r="K196" s="213">
        <v>0</v>
      </c>
      <c r="L196" s="213">
        <v>0</v>
      </c>
    </row>
    <row r="197" spans="1:16" s="43" customFormat="1" ht="60" x14ac:dyDescent="0.25">
      <c r="A197" s="201"/>
      <c r="B197" s="35"/>
      <c r="C197" s="273" t="s">
        <v>836</v>
      </c>
      <c r="D197" s="272" t="s">
        <v>1001</v>
      </c>
      <c r="E197" s="274" t="s">
        <v>770</v>
      </c>
      <c r="F197" s="225" t="s">
        <v>629</v>
      </c>
      <c r="G197" s="279">
        <v>7643.2</v>
      </c>
      <c r="H197" s="279">
        <v>7643.2</v>
      </c>
      <c r="I197" s="213">
        <f t="shared" si="68"/>
        <v>7643.2</v>
      </c>
      <c r="J197" s="213">
        <v>0</v>
      </c>
      <c r="K197" s="213">
        <v>0</v>
      </c>
      <c r="L197" s="213">
        <v>0</v>
      </c>
      <c r="M197" s="220"/>
      <c r="N197" s="220"/>
    </row>
    <row r="198" spans="1:16" s="43" customFormat="1" ht="60" x14ac:dyDescent="0.25">
      <c r="A198" s="201"/>
      <c r="B198" s="35"/>
      <c r="C198" s="273" t="s">
        <v>836</v>
      </c>
      <c r="D198" s="272" t="s">
        <v>1002</v>
      </c>
      <c r="E198" s="274" t="s">
        <v>770</v>
      </c>
      <c r="F198" s="225" t="s">
        <v>630</v>
      </c>
      <c r="G198" s="279">
        <v>4000</v>
      </c>
      <c r="H198" s="279">
        <v>4000</v>
      </c>
      <c r="I198" s="213">
        <f t="shared" si="68"/>
        <v>4000</v>
      </c>
      <c r="J198" s="213">
        <v>0</v>
      </c>
      <c r="K198" s="213">
        <v>0</v>
      </c>
      <c r="L198" s="213">
        <v>0</v>
      </c>
    </row>
    <row r="199" spans="1:16" s="142" customFormat="1" x14ac:dyDescent="0.25">
      <c r="A199" s="145"/>
      <c r="B199" s="35"/>
      <c r="C199" s="143"/>
      <c r="D199" s="143"/>
      <c r="E199" s="148"/>
      <c r="F199" s="225" t="s">
        <v>631</v>
      </c>
      <c r="G199" s="213"/>
      <c r="H199" s="213"/>
      <c r="I199" s="213"/>
      <c r="J199" s="213"/>
      <c r="K199" s="213"/>
      <c r="L199" s="213"/>
    </row>
    <row r="200" spans="1:16" s="47" customFormat="1" ht="43.5" x14ac:dyDescent="0.25">
      <c r="A200" s="48"/>
      <c r="B200" s="136" t="s">
        <v>464</v>
      </c>
      <c r="C200" s="136" t="s">
        <v>463</v>
      </c>
      <c r="D200" s="136" t="s">
        <v>464</v>
      </c>
      <c r="E200" s="137"/>
      <c r="F200" s="243" t="s">
        <v>632</v>
      </c>
      <c r="G200" s="194">
        <v>0</v>
      </c>
      <c r="H200" s="194">
        <v>0</v>
      </c>
      <c r="I200" s="194">
        <v>0</v>
      </c>
      <c r="J200" s="194">
        <v>0</v>
      </c>
      <c r="K200" s="194">
        <v>0</v>
      </c>
      <c r="L200" s="194">
        <v>0</v>
      </c>
    </row>
    <row r="201" spans="1:16" ht="62.25" customHeight="1" x14ac:dyDescent="0.25">
      <c r="A201" s="41"/>
      <c r="B201" s="136" t="s">
        <v>232</v>
      </c>
      <c r="C201" s="136" t="s">
        <v>273</v>
      </c>
      <c r="D201" s="136" t="s">
        <v>232</v>
      </c>
      <c r="E201" s="137"/>
      <c r="F201" s="243" t="s">
        <v>633</v>
      </c>
      <c r="G201" s="266">
        <f>SUM(G202:G205)</f>
        <v>-1222.8</v>
      </c>
      <c r="H201" s="266">
        <f t="shared" ref="H201:L201" si="69">SUM(H202:H205)</f>
        <v>-1222.8</v>
      </c>
      <c r="I201" s="266">
        <f t="shared" si="69"/>
        <v>-1222.8</v>
      </c>
      <c r="J201" s="266">
        <f t="shared" si="69"/>
        <v>0</v>
      </c>
      <c r="K201" s="266">
        <f t="shared" si="69"/>
        <v>0</v>
      </c>
      <c r="L201" s="266">
        <f t="shared" si="69"/>
        <v>0</v>
      </c>
    </row>
    <row r="202" spans="1:16" ht="75" x14ac:dyDescent="0.25">
      <c r="A202" s="218"/>
      <c r="B202" s="283"/>
      <c r="C202" s="273" t="s">
        <v>925</v>
      </c>
      <c r="D202" s="272" t="s">
        <v>926</v>
      </c>
      <c r="E202" s="274" t="s">
        <v>755</v>
      </c>
      <c r="F202" s="225" t="s">
        <v>634</v>
      </c>
      <c r="G202" s="275">
        <v>-97.8</v>
      </c>
      <c r="H202" s="275">
        <v>-97.8</v>
      </c>
      <c r="I202" s="275">
        <f>SUM(G202)</f>
        <v>-97.8</v>
      </c>
      <c r="J202" s="275">
        <v>0</v>
      </c>
      <c r="K202" s="275">
        <v>0</v>
      </c>
      <c r="L202" s="275">
        <v>0</v>
      </c>
    </row>
    <row r="203" spans="1:16" ht="75" x14ac:dyDescent="0.25">
      <c r="A203" s="218"/>
      <c r="B203" s="283"/>
      <c r="C203" s="273" t="s">
        <v>927</v>
      </c>
      <c r="D203" s="272" t="s">
        <v>928</v>
      </c>
      <c r="E203" s="274" t="s">
        <v>755</v>
      </c>
      <c r="F203" s="225" t="s">
        <v>635</v>
      </c>
      <c r="G203" s="275">
        <v>-12.5</v>
      </c>
      <c r="H203" s="275">
        <v>-12.5</v>
      </c>
      <c r="I203" s="275">
        <f t="shared" ref="I203:I205" si="70">SUM(G203)</f>
        <v>-12.5</v>
      </c>
      <c r="J203" s="275">
        <v>0</v>
      </c>
      <c r="K203" s="275">
        <v>0</v>
      </c>
      <c r="L203" s="275">
        <v>0</v>
      </c>
    </row>
    <row r="204" spans="1:16" s="200" customFormat="1" ht="75" x14ac:dyDescent="0.25">
      <c r="A204" s="198"/>
      <c r="B204" s="143"/>
      <c r="C204" s="273" t="s">
        <v>929</v>
      </c>
      <c r="D204" s="272" t="s">
        <v>930</v>
      </c>
      <c r="E204" s="274" t="s">
        <v>755</v>
      </c>
      <c r="F204" s="225" t="s">
        <v>636</v>
      </c>
      <c r="G204" s="275">
        <v>-4.4000000000000004</v>
      </c>
      <c r="H204" s="275">
        <v>-4.4000000000000004</v>
      </c>
      <c r="I204" s="275">
        <f t="shared" si="70"/>
        <v>-4.4000000000000004</v>
      </c>
      <c r="J204" s="275">
        <v>0</v>
      </c>
      <c r="K204" s="275">
        <v>0</v>
      </c>
      <c r="L204" s="275">
        <v>0</v>
      </c>
    </row>
    <row r="205" spans="1:16" ht="75" x14ac:dyDescent="0.25">
      <c r="B205" s="48"/>
      <c r="C205" s="286" t="s">
        <v>910</v>
      </c>
      <c r="D205" s="273" t="s">
        <v>911</v>
      </c>
      <c r="E205" s="274" t="s">
        <v>732</v>
      </c>
      <c r="F205" s="225" t="s">
        <v>637</v>
      </c>
      <c r="G205" s="275">
        <v>-1108.0999999999999</v>
      </c>
      <c r="H205" s="275">
        <v>-1108.0999999999999</v>
      </c>
      <c r="I205" s="275">
        <f t="shared" si="70"/>
        <v>-1108.0999999999999</v>
      </c>
      <c r="J205" s="275">
        <v>0</v>
      </c>
      <c r="K205" s="275">
        <v>0</v>
      </c>
      <c r="L205" s="275">
        <v>0</v>
      </c>
    </row>
  </sheetData>
  <mergeCells count="16">
    <mergeCell ref="A2:A4"/>
    <mergeCell ref="B2:B4"/>
    <mergeCell ref="C2:D2"/>
    <mergeCell ref="E2:E4"/>
    <mergeCell ref="F2:F4"/>
    <mergeCell ref="G2:G4"/>
    <mergeCell ref="B1:L1"/>
    <mergeCell ref="M193:P193"/>
    <mergeCell ref="H2:H4"/>
    <mergeCell ref="I2:I4"/>
    <mergeCell ref="J2:L2"/>
    <mergeCell ref="C3:C4"/>
    <mergeCell ref="D3:D4"/>
    <mergeCell ref="J3:J4"/>
    <mergeCell ref="K3:K4"/>
    <mergeCell ref="L3:L4"/>
  </mergeCells>
  <pageMargins left="0.7" right="0.7" top="0.75" bottom="0.75" header="0.3" footer="0.3"/>
  <pageSetup paperSize="9"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55"/>
  <sheetViews>
    <sheetView tabSelected="1" topLeftCell="D33" zoomScaleNormal="100" workbookViewId="0">
      <selection activeCell="J51" sqref="J51"/>
    </sheetView>
  </sheetViews>
  <sheetFormatPr defaultRowHeight="15" x14ac:dyDescent="0.25"/>
  <cols>
    <col min="1" max="1" width="5.28515625" hidden="1" customWidth="1"/>
    <col min="2" max="2" width="5.28515625" customWidth="1"/>
    <col min="3" max="3" width="29.85546875" customWidth="1"/>
    <col min="4" max="4" width="28" customWidth="1"/>
    <col min="5" max="5" width="56" customWidth="1"/>
    <col min="6" max="6" width="29.140625" style="290" customWidth="1"/>
    <col min="7" max="7" width="9.140625" customWidth="1"/>
    <col min="8" max="8" width="13.28515625" style="164" customWidth="1"/>
    <col min="9" max="9" width="14" style="164" customWidth="1"/>
    <col min="10" max="10" width="13.28515625" style="164" customWidth="1"/>
    <col min="11" max="11" width="14.28515625" style="164" customWidth="1"/>
    <col min="12" max="12" width="15.28515625" style="164" customWidth="1"/>
    <col min="13" max="13" width="13" style="164" customWidth="1"/>
    <col min="14" max="14" width="12.140625" customWidth="1"/>
    <col min="15" max="19" width="10.5703125" bestFit="1" customWidth="1"/>
  </cols>
  <sheetData>
    <row r="1" spans="1:38" ht="38.25" customHeight="1" x14ac:dyDescent="0.25">
      <c r="A1" s="289"/>
      <c r="B1" s="307"/>
      <c r="C1" s="394" t="s">
        <v>1022</v>
      </c>
      <c r="D1" s="395"/>
      <c r="E1" s="395"/>
      <c r="F1" s="395"/>
      <c r="G1" s="395"/>
      <c r="H1" s="395"/>
      <c r="I1" s="395"/>
      <c r="J1" s="395"/>
      <c r="K1" s="395"/>
      <c r="L1" s="395"/>
      <c r="M1" s="395"/>
    </row>
    <row r="2" spans="1:38" s="106" customFormat="1" ht="22.5" customHeight="1" x14ac:dyDescent="0.25">
      <c r="A2" s="399" t="s">
        <v>1</v>
      </c>
      <c r="B2" s="308"/>
      <c r="C2" s="402" t="s">
        <v>2</v>
      </c>
      <c r="D2" s="402" t="s">
        <v>3</v>
      </c>
      <c r="E2" s="402"/>
      <c r="F2" s="402" t="s">
        <v>69</v>
      </c>
      <c r="G2" s="402" t="s">
        <v>4</v>
      </c>
      <c r="H2" s="403" t="s">
        <v>1023</v>
      </c>
      <c r="I2" s="403" t="s">
        <v>1024</v>
      </c>
      <c r="J2" s="403" t="s">
        <v>1025</v>
      </c>
      <c r="K2" s="403" t="s">
        <v>5</v>
      </c>
      <c r="L2" s="403"/>
      <c r="M2" s="403"/>
    </row>
    <row r="3" spans="1:38" s="106" customFormat="1" ht="11.25" x14ac:dyDescent="0.2">
      <c r="A3" s="400"/>
      <c r="B3" s="309"/>
      <c r="C3" s="402"/>
      <c r="D3" s="402" t="s">
        <v>6</v>
      </c>
      <c r="E3" s="402" t="s">
        <v>9</v>
      </c>
      <c r="F3" s="402"/>
      <c r="G3" s="402"/>
      <c r="H3" s="403"/>
      <c r="I3" s="404"/>
      <c r="J3" s="404"/>
      <c r="K3" s="403" t="s">
        <v>1026</v>
      </c>
      <c r="L3" s="403" t="s">
        <v>1027</v>
      </c>
      <c r="M3" s="403" t="s">
        <v>859</v>
      </c>
    </row>
    <row r="4" spans="1:38" s="106" customFormat="1" ht="117.75" customHeight="1" x14ac:dyDescent="0.25">
      <c r="A4" s="401"/>
      <c r="B4" s="363" t="s">
        <v>1</v>
      </c>
      <c r="C4" s="402"/>
      <c r="D4" s="402"/>
      <c r="E4" s="402"/>
      <c r="F4" s="402"/>
      <c r="G4" s="402"/>
      <c r="H4" s="403"/>
      <c r="I4" s="404"/>
      <c r="J4" s="404"/>
      <c r="K4" s="403"/>
      <c r="L4" s="403"/>
      <c r="M4" s="403"/>
      <c r="O4" s="373"/>
      <c r="P4" s="373"/>
      <c r="Q4" s="373"/>
    </row>
    <row r="5" spans="1:38" x14ac:dyDescent="0.25">
      <c r="A5" s="291">
        <v>1</v>
      </c>
      <c r="B5" s="306"/>
      <c r="C5" s="302">
        <v>1</v>
      </c>
      <c r="D5" s="302">
        <v>2</v>
      </c>
      <c r="E5" s="302">
        <v>3</v>
      </c>
      <c r="F5" s="302">
        <v>4</v>
      </c>
      <c r="G5" s="302">
        <v>5</v>
      </c>
      <c r="H5" s="311">
        <v>6</v>
      </c>
      <c r="I5" s="311">
        <v>7</v>
      </c>
      <c r="J5" s="311">
        <v>8</v>
      </c>
      <c r="K5" s="311">
        <v>9</v>
      </c>
      <c r="L5" s="311">
        <v>10</v>
      </c>
      <c r="M5" s="311">
        <v>11</v>
      </c>
      <c r="N5" s="268"/>
      <c r="O5" s="269"/>
      <c r="P5" s="164"/>
      <c r="Q5" s="164"/>
    </row>
    <row r="6" spans="1:38" s="111" customFormat="1" ht="29.25" x14ac:dyDescent="0.25">
      <c r="A6" s="107"/>
      <c r="B6" s="107"/>
      <c r="C6" s="312" t="s">
        <v>1075</v>
      </c>
      <c r="D6" s="313"/>
      <c r="E6" s="313"/>
      <c r="F6" s="130"/>
      <c r="G6" s="314" t="s">
        <v>13</v>
      </c>
      <c r="H6" s="315">
        <f t="shared" ref="H6:M6" si="0">H7+H152</f>
        <v>1720729.5</v>
      </c>
      <c r="I6" s="315">
        <f t="shared" si="0"/>
        <v>1330285.1199999999</v>
      </c>
      <c r="J6" s="315">
        <f t="shared" si="0"/>
        <v>1739358.1</v>
      </c>
      <c r="K6" s="315">
        <f t="shared" si="0"/>
        <v>1212015.7000000002</v>
      </c>
      <c r="L6" s="315">
        <f t="shared" si="0"/>
        <v>1194898.8999999999</v>
      </c>
      <c r="M6" s="315">
        <f t="shared" si="0"/>
        <v>1412260.2</v>
      </c>
      <c r="N6" s="216"/>
      <c r="O6" s="287"/>
      <c r="P6" s="368"/>
      <c r="Q6" s="293"/>
      <c r="R6" s="294"/>
      <c r="S6" s="293"/>
      <c r="T6" s="216"/>
      <c r="U6" s="216"/>
      <c r="V6" s="216"/>
      <c r="W6" s="216"/>
      <c r="X6" s="216"/>
      <c r="Y6" s="216"/>
      <c r="Z6" s="216"/>
      <c r="AA6" s="216"/>
      <c r="AB6" s="216"/>
      <c r="AC6" s="216"/>
      <c r="AD6" s="216"/>
      <c r="AE6" s="216"/>
      <c r="AF6" s="216"/>
      <c r="AG6" s="216"/>
      <c r="AH6" s="216"/>
      <c r="AI6" s="216"/>
      <c r="AJ6" s="216"/>
      <c r="AK6" s="216"/>
      <c r="AL6" s="216"/>
    </row>
    <row r="7" spans="1:38" ht="29.25" x14ac:dyDescent="0.25">
      <c r="A7" s="112"/>
      <c r="B7" s="112"/>
      <c r="C7" s="124" t="s">
        <v>8</v>
      </c>
      <c r="D7" s="124" t="s">
        <v>77</v>
      </c>
      <c r="E7" s="124" t="s">
        <v>8</v>
      </c>
      <c r="F7" s="126"/>
      <c r="G7" s="316" t="s">
        <v>14</v>
      </c>
      <c r="H7" s="317">
        <f t="shared" ref="H7:M7" si="1">H8+H50</f>
        <v>347971.6</v>
      </c>
      <c r="I7" s="317">
        <f t="shared" si="1"/>
        <v>286221.41999999993</v>
      </c>
      <c r="J7" s="317">
        <f t="shared" si="1"/>
        <v>366384.8</v>
      </c>
      <c r="K7" s="317">
        <f t="shared" si="1"/>
        <v>370898.39999999997</v>
      </c>
      <c r="L7" s="317">
        <f t="shared" si="1"/>
        <v>405513.9</v>
      </c>
      <c r="M7" s="317">
        <f t="shared" si="1"/>
        <v>433051.6</v>
      </c>
      <c r="N7" s="64"/>
      <c r="O7" s="310"/>
      <c r="P7" s="310"/>
      <c r="Q7" s="310"/>
      <c r="R7" s="64"/>
      <c r="S7" s="64"/>
    </row>
    <row r="8" spans="1:38" s="17" customFormat="1" x14ac:dyDescent="0.25">
      <c r="A8" s="207"/>
      <c r="B8" s="207"/>
      <c r="C8" s="318" t="s">
        <v>10</v>
      </c>
      <c r="D8" s="318"/>
      <c r="E8" s="318" t="s">
        <v>824</v>
      </c>
      <c r="F8" s="208"/>
      <c r="G8" s="319" t="s">
        <v>15</v>
      </c>
      <c r="H8" s="320">
        <f>H9+H17+H27+H47+H39</f>
        <v>305519.89999999997</v>
      </c>
      <c r="I8" s="320">
        <f t="shared" ref="I8:M8" si="2">I9+I17+I27+I47+I39</f>
        <v>247615.49999999994</v>
      </c>
      <c r="J8" s="320">
        <f t="shared" si="2"/>
        <v>321407.09999999998</v>
      </c>
      <c r="K8" s="320">
        <f t="shared" si="2"/>
        <v>338768.8</v>
      </c>
      <c r="L8" s="320">
        <f t="shared" si="2"/>
        <v>372491.10000000003</v>
      </c>
      <c r="M8" s="320">
        <f t="shared" si="2"/>
        <v>399060.69999999995</v>
      </c>
      <c r="N8" s="209"/>
      <c r="O8" s="287"/>
    </row>
    <row r="9" spans="1:38" s="8" customFormat="1" x14ac:dyDescent="0.25">
      <c r="A9" s="6"/>
      <c r="B9" s="6"/>
      <c r="C9" s="12" t="s">
        <v>11</v>
      </c>
      <c r="D9" s="12" t="s">
        <v>78</v>
      </c>
      <c r="E9" s="12" t="s">
        <v>79</v>
      </c>
      <c r="F9" s="20"/>
      <c r="G9" s="321" t="s">
        <v>16</v>
      </c>
      <c r="H9" s="322">
        <f>H10</f>
        <v>221347.39999999997</v>
      </c>
      <c r="I9" s="322">
        <f t="shared" ref="I9:M9" si="3">I10</f>
        <v>184989.69999999998</v>
      </c>
      <c r="J9" s="323">
        <f t="shared" si="3"/>
        <v>237687</v>
      </c>
      <c r="K9" s="322">
        <f t="shared" si="3"/>
        <v>252994.99999999997</v>
      </c>
      <c r="L9" s="322">
        <f t="shared" si="3"/>
        <v>273790.10000000003</v>
      </c>
      <c r="M9" s="322">
        <f t="shared" si="3"/>
        <v>296303</v>
      </c>
      <c r="O9" s="203"/>
      <c r="P9" s="203"/>
      <c r="Q9" s="203"/>
    </row>
    <row r="10" spans="1:38" s="8" customFormat="1" x14ac:dyDescent="0.25">
      <c r="A10" s="6"/>
      <c r="B10" s="6"/>
      <c r="C10" s="15"/>
      <c r="D10" s="232" t="s">
        <v>68</v>
      </c>
      <c r="E10" s="232" t="s">
        <v>12</v>
      </c>
      <c r="F10" s="222"/>
      <c r="G10" s="321" t="s">
        <v>17</v>
      </c>
      <c r="H10" s="324">
        <f>SUM(H11:H16)</f>
        <v>221347.39999999997</v>
      </c>
      <c r="I10" s="324">
        <f t="shared" ref="I10:M10" si="4">SUM(I11:I16)</f>
        <v>184989.69999999998</v>
      </c>
      <c r="J10" s="325">
        <f t="shared" si="4"/>
        <v>237687</v>
      </c>
      <c r="K10" s="325">
        <f t="shared" si="4"/>
        <v>252994.99999999997</v>
      </c>
      <c r="L10" s="325">
        <f t="shared" si="4"/>
        <v>273790.10000000003</v>
      </c>
      <c r="M10" s="325">
        <f t="shared" si="4"/>
        <v>296303</v>
      </c>
      <c r="N10" s="203"/>
      <c r="O10" s="203"/>
    </row>
    <row r="11" spans="1:38" ht="223.5" customHeight="1" x14ac:dyDescent="0.25">
      <c r="A11" s="291"/>
      <c r="B11" s="306"/>
      <c r="C11" s="11"/>
      <c r="D11" s="235" t="s">
        <v>72</v>
      </c>
      <c r="E11" s="235" t="s">
        <v>1028</v>
      </c>
      <c r="F11" s="224" t="s">
        <v>939</v>
      </c>
      <c r="G11" s="321" t="s">
        <v>18</v>
      </c>
      <c r="H11" s="326">
        <v>211080.9</v>
      </c>
      <c r="I11" s="326">
        <v>175699.5</v>
      </c>
      <c r="J11" s="327">
        <v>225869.4</v>
      </c>
      <c r="K11" s="327">
        <v>241670.8</v>
      </c>
      <c r="L11" s="327">
        <v>261737.7</v>
      </c>
      <c r="M11" s="327">
        <v>283466.8</v>
      </c>
      <c r="Q11" s="64"/>
    </row>
    <row r="12" spans="1:38" ht="168.75" customHeight="1" x14ac:dyDescent="0.25">
      <c r="A12" s="291"/>
      <c r="B12" s="306"/>
      <c r="C12" s="11"/>
      <c r="D12" s="235" t="s">
        <v>74</v>
      </c>
      <c r="E12" s="235" t="s">
        <v>1029</v>
      </c>
      <c r="F12" s="224" t="s">
        <v>71</v>
      </c>
      <c r="G12" s="321" t="s">
        <v>19</v>
      </c>
      <c r="H12" s="326">
        <v>809.6</v>
      </c>
      <c r="I12" s="326">
        <v>390.9</v>
      </c>
      <c r="J12" s="327">
        <v>543.6</v>
      </c>
      <c r="K12" s="327">
        <v>500</v>
      </c>
      <c r="L12" s="327">
        <v>540</v>
      </c>
      <c r="M12" s="327">
        <v>580</v>
      </c>
      <c r="Q12" s="64"/>
    </row>
    <row r="13" spans="1:38" ht="149.25" customHeight="1" x14ac:dyDescent="0.25">
      <c r="A13" s="291"/>
      <c r="B13" s="306"/>
      <c r="C13" s="11"/>
      <c r="D13" s="235" t="s">
        <v>76</v>
      </c>
      <c r="E13" s="235" t="s">
        <v>1030</v>
      </c>
      <c r="F13" s="224" t="s">
        <v>71</v>
      </c>
      <c r="G13" s="321" t="s">
        <v>20</v>
      </c>
      <c r="H13" s="328">
        <v>5472</v>
      </c>
      <c r="I13" s="326">
        <v>4072.9</v>
      </c>
      <c r="J13" s="327">
        <v>5265.5</v>
      </c>
      <c r="K13" s="327">
        <v>5510</v>
      </c>
      <c r="L13" s="327">
        <v>5967.2</v>
      </c>
      <c r="M13" s="327">
        <v>6462.4</v>
      </c>
      <c r="Q13" s="64"/>
    </row>
    <row r="14" spans="1:38" ht="108.75" customHeight="1" x14ac:dyDescent="0.25">
      <c r="A14" s="291"/>
      <c r="B14" s="306"/>
      <c r="C14" s="11"/>
      <c r="D14" s="235" t="s">
        <v>305</v>
      </c>
      <c r="E14" s="235" t="s">
        <v>304</v>
      </c>
      <c r="F14" s="224" t="s">
        <v>71</v>
      </c>
      <c r="G14" s="321" t="s">
        <v>278</v>
      </c>
      <c r="H14" s="326">
        <v>3629.8</v>
      </c>
      <c r="I14" s="326">
        <v>4345.3</v>
      </c>
      <c r="J14" s="327">
        <v>5457.6</v>
      </c>
      <c r="K14" s="327">
        <v>4731.8999999999996</v>
      </c>
      <c r="L14" s="327">
        <v>4921.2</v>
      </c>
      <c r="M14" s="327">
        <v>5118</v>
      </c>
    </row>
    <row r="15" spans="1:38" ht="409.5" customHeight="1" x14ac:dyDescent="0.25">
      <c r="A15" s="291"/>
      <c r="B15" s="306"/>
      <c r="C15" s="11"/>
      <c r="D15" s="235" t="s">
        <v>646</v>
      </c>
      <c r="E15" s="235" t="s">
        <v>1031</v>
      </c>
      <c r="F15" s="224" t="s">
        <v>71</v>
      </c>
      <c r="G15" s="321" t="s">
        <v>21</v>
      </c>
      <c r="H15" s="326">
        <v>61.8</v>
      </c>
      <c r="I15" s="326">
        <v>100.9</v>
      </c>
      <c r="J15" s="327">
        <v>140</v>
      </c>
      <c r="K15" s="327">
        <v>72.3</v>
      </c>
      <c r="L15" s="327">
        <v>78.3</v>
      </c>
      <c r="M15" s="327">
        <v>84.8</v>
      </c>
    </row>
    <row r="16" spans="1:38" ht="124.5" customHeight="1" x14ac:dyDescent="0.25">
      <c r="A16" s="291"/>
      <c r="B16" s="306"/>
      <c r="C16" s="11"/>
      <c r="D16" s="235" t="s">
        <v>840</v>
      </c>
      <c r="E16" s="235" t="s">
        <v>1032</v>
      </c>
      <c r="F16" s="224" t="s">
        <v>71</v>
      </c>
      <c r="G16" s="321" t="s">
        <v>22</v>
      </c>
      <c r="H16" s="326">
        <v>293.3</v>
      </c>
      <c r="I16" s="326">
        <v>380.2</v>
      </c>
      <c r="J16" s="327">
        <v>410.9</v>
      </c>
      <c r="K16" s="327">
        <v>510</v>
      </c>
      <c r="L16" s="327">
        <v>545.70000000000005</v>
      </c>
      <c r="M16" s="327">
        <v>591</v>
      </c>
    </row>
    <row r="17" spans="1:15" s="8" customFormat="1" ht="57.75" x14ac:dyDescent="0.25">
      <c r="A17" s="6"/>
      <c r="B17" s="6"/>
      <c r="C17" s="12" t="s">
        <v>660</v>
      </c>
      <c r="D17" s="229" t="s">
        <v>661</v>
      </c>
      <c r="E17" s="229" t="s">
        <v>662</v>
      </c>
      <c r="F17" s="227"/>
      <c r="G17" s="321" t="s">
        <v>23</v>
      </c>
      <c r="H17" s="329">
        <f>SUM(H18)</f>
        <v>28142.5</v>
      </c>
      <c r="I17" s="329">
        <f t="shared" ref="I17:M17" si="5">SUM(I18)</f>
        <v>23093.8</v>
      </c>
      <c r="J17" s="329">
        <f t="shared" si="5"/>
        <v>28012</v>
      </c>
      <c r="K17" s="329">
        <f t="shared" si="5"/>
        <v>31806.600000000002</v>
      </c>
      <c r="L17" s="329">
        <f t="shared" si="5"/>
        <v>42463.299999999996</v>
      </c>
      <c r="M17" s="329">
        <f t="shared" si="5"/>
        <v>44155.700000000004</v>
      </c>
    </row>
    <row r="18" spans="1:15" s="17" customFormat="1" ht="30" x14ac:dyDescent="0.25">
      <c r="A18" s="30"/>
      <c r="B18" s="30"/>
      <c r="C18" s="15"/>
      <c r="D18" s="232" t="s">
        <v>659</v>
      </c>
      <c r="E18" s="232" t="s">
        <v>658</v>
      </c>
      <c r="F18" s="222"/>
      <c r="G18" s="321" t="s">
        <v>24</v>
      </c>
      <c r="H18" s="324">
        <f>SUM(H19+H21+H23+H25)</f>
        <v>28142.5</v>
      </c>
      <c r="I18" s="324">
        <f t="shared" ref="I18:M18" si="6">SUM(I19+I21+I23+I25)</f>
        <v>23093.8</v>
      </c>
      <c r="J18" s="324">
        <f t="shared" si="6"/>
        <v>28012</v>
      </c>
      <c r="K18" s="324">
        <f t="shared" si="6"/>
        <v>31806.600000000002</v>
      </c>
      <c r="L18" s="324">
        <f t="shared" si="6"/>
        <v>42463.299999999996</v>
      </c>
      <c r="M18" s="324">
        <f t="shared" si="6"/>
        <v>44155.700000000004</v>
      </c>
    </row>
    <row r="19" spans="1:15" s="17" customFormat="1" ht="90.75" customHeight="1" x14ac:dyDescent="0.25">
      <c r="A19" s="30"/>
      <c r="B19" s="30"/>
      <c r="C19" s="15"/>
      <c r="D19" s="232" t="s">
        <v>1076</v>
      </c>
      <c r="E19" s="15" t="s">
        <v>663</v>
      </c>
      <c r="F19" s="222"/>
      <c r="G19" s="321" t="s">
        <v>25</v>
      </c>
      <c r="H19" s="324">
        <f>SUM(H20)</f>
        <v>14718.5</v>
      </c>
      <c r="I19" s="324">
        <f t="shared" ref="I19:M19" si="7">SUM(I20)</f>
        <v>11716.5</v>
      </c>
      <c r="J19" s="324">
        <f t="shared" si="7"/>
        <v>14288.8</v>
      </c>
      <c r="K19" s="324">
        <f t="shared" si="7"/>
        <v>16644.400000000001</v>
      </c>
      <c r="L19" s="324">
        <f t="shared" si="7"/>
        <v>22195.599999999999</v>
      </c>
      <c r="M19" s="324">
        <f t="shared" si="7"/>
        <v>23040.5</v>
      </c>
    </row>
    <row r="20" spans="1:15" ht="120" x14ac:dyDescent="0.25">
      <c r="A20" s="291"/>
      <c r="B20" s="306"/>
      <c r="C20" s="11"/>
      <c r="D20" s="235" t="s">
        <v>1033</v>
      </c>
      <c r="E20" s="303" t="s">
        <v>932</v>
      </c>
      <c r="F20" s="224" t="s">
        <v>939</v>
      </c>
      <c r="G20" s="321" t="s">
        <v>26</v>
      </c>
      <c r="H20" s="326">
        <v>14718.5</v>
      </c>
      <c r="I20" s="326">
        <v>11716.5</v>
      </c>
      <c r="J20" s="327">
        <v>14288.8</v>
      </c>
      <c r="K20" s="327">
        <v>16644.400000000001</v>
      </c>
      <c r="L20" s="327">
        <v>22195.599999999999</v>
      </c>
      <c r="M20" s="327">
        <v>23040.5</v>
      </c>
    </row>
    <row r="21" spans="1:15" ht="105" x14ac:dyDescent="0.25">
      <c r="A21" s="297"/>
      <c r="B21" s="306"/>
      <c r="C21" s="11"/>
      <c r="D21" s="232" t="s">
        <v>1077</v>
      </c>
      <c r="E21" s="15" t="s">
        <v>664</v>
      </c>
      <c r="F21" s="224"/>
      <c r="G21" s="321" t="s">
        <v>27</v>
      </c>
      <c r="H21" s="324">
        <f>SUM(H22)</f>
        <v>67.5</v>
      </c>
      <c r="I21" s="324">
        <f t="shared" ref="I21:M21" si="8">SUM(I22)</f>
        <v>68.099999999999994</v>
      </c>
      <c r="J21" s="324">
        <f t="shared" si="8"/>
        <v>79.900000000000006</v>
      </c>
      <c r="K21" s="324">
        <f t="shared" si="8"/>
        <v>82.7</v>
      </c>
      <c r="L21" s="324">
        <f t="shared" si="8"/>
        <v>106.1</v>
      </c>
      <c r="M21" s="324">
        <f t="shared" si="8"/>
        <v>110.4</v>
      </c>
    </row>
    <row r="22" spans="1:15" ht="135" x14ac:dyDescent="0.25">
      <c r="A22" s="291"/>
      <c r="B22" s="306"/>
      <c r="C22" s="11"/>
      <c r="D22" s="235" t="s">
        <v>1034</v>
      </c>
      <c r="E22" s="303" t="s">
        <v>933</v>
      </c>
      <c r="F22" s="224" t="s">
        <v>939</v>
      </c>
      <c r="G22" s="321" t="s">
        <v>28</v>
      </c>
      <c r="H22" s="326">
        <v>67.5</v>
      </c>
      <c r="I22" s="326">
        <v>68.099999999999994</v>
      </c>
      <c r="J22" s="327">
        <v>79.900000000000006</v>
      </c>
      <c r="K22" s="327">
        <v>82.7</v>
      </c>
      <c r="L22" s="327">
        <v>106.1</v>
      </c>
      <c r="M22" s="327">
        <v>110.4</v>
      </c>
    </row>
    <row r="23" spans="1:15" ht="90" x14ac:dyDescent="0.25">
      <c r="A23" s="297"/>
      <c r="B23" s="306"/>
      <c r="C23" s="11"/>
      <c r="D23" s="232" t="s">
        <v>1078</v>
      </c>
      <c r="E23" s="15" t="s">
        <v>1079</v>
      </c>
      <c r="F23" s="224"/>
      <c r="G23" s="321" t="s">
        <v>29</v>
      </c>
      <c r="H23" s="324">
        <f>SUM(H24)</f>
        <v>14864.9</v>
      </c>
      <c r="I23" s="324">
        <f t="shared" ref="I23:M23" si="9">SUM(I24)</f>
        <v>12475</v>
      </c>
      <c r="J23" s="324">
        <f t="shared" si="9"/>
        <v>15072.8</v>
      </c>
      <c r="K23" s="324">
        <f t="shared" si="9"/>
        <v>16097.3</v>
      </c>
      <c r="L23" s="324">
        <f t="shared" si="9"/>
        <v>21465.200000000001</v>
      </c>
      <c r="M23" s="324">
        <f t="shared" si="9"/>
        <v>22303</v>
      </c>
    </row>
    <row r="24" spans="1:15" ht="120" x14ac:dyDescent="0.25">
      <c r="A24" s="291"/>
      <c r="B24" s="306"/>
      <c r="C24" s="11"/>
      <c r="D24" s="235" t="s">
        <v>1035</v>
      </c>
      <c r="E24" s="330" t="s">
        <v>934</v>
      </c>
      <c r="F24" s="224" t="s">
        <v>939</v>
      </c>
      <c r="G24" s="321" t="s">
        <v>30</v>
      </c>
      <c r="H24" s="326">
        <v>14864.9</v>
      </c>
      <c r="I24" s="326">
        <v>12475</v>
      </c>
      <c r="J24" s="327">
        <v>15072.8</v>
      </c>
      <c r="K24" s="327">
        <v>16097.3</v>
      </c>
      <c r="L24" s="327">
        <v>21465.200000000001</v>
      </c>
      <c r="M24" s="327">
        <v>22303</v>
      </c>
    </row>
    <row r="25" spans="1:15" ht="90" x14ac:dyDescent="0.25">
      <c r="A25" s="297"/>
      <c r="B25" s="306"/>
      <c r="C25" s="11"/>
      <c r="D25" s="232" t="s">
        <v>1080</v>
      </c>
      <c r="E25" s="15" t="s">
        <v>666</v>
      </c>
      <c r="F25" s="224"/>
      <c r="G25" s="321" t="s">
        <v>31</v>
      </c>
      <c r="H25" s="324">
        <f>SUM(H26)</f>
        <v>-1508.4</v>
      </c>
      <c r="I25" s="324">
        <f t="shared" ref="I25:M25" si="10">SUM(I26)</f>
        <v>-1165.8</v>
      </c>
      <c r="J25" s="324">
        <f t="shared" si="10"/>
        <v>-1429.5</v>
      </c>
      <c r="K25" s="324">
        <f t="shared" si="10"/>
        <v>-1017.8</v>
      </c>
      <c r="L25" s="324">
        <f t="shared" si="10"/>
        <v>-1303.5999999999999</v>
      </c>
      <c r="M25" s="324">
        <f t="shared" si="10"/>
        <v>-1298.2</v>
      </c>
    </row>
    <row r="26" spans="1:15" ht="120" x14ac:dyDescent="0.25">
      <c r="A26" s="291"/>
      <c r="B26" s="306"/>
      <c r="C26" s="11"/>
      <c r="D26" s="235" t="s">
        <v>1036</v>
      </c>
      <c r="E26" s="330" t="s">
        <v>935</v>
      </c>
      <c r="F26" s="224" t="s">
        <v>939</v>
      </c>
      <c r="G26" s="321" t="s">
        <v>32</v>
      </c>
      <c r="H26" s="326">
        <v>-1508.4</v>
      </c>
      <c r="I26" s="326">
        <v>-1165.8</v>
      </c>
      <c r="J26" s="327">
        <v>-1429.5</v>
      </c>
      <c r="K26" s="327">
        <v>-1017.8</v>
      </c>
      <c r="L26" s="327">
        <v>-1303.5999999999999</v>
      </c>
      <c r="M26" s="327">
        <v>-1298.2</v>
      </c>
    </row>
    <row r="27" spans="1:15" ht="29.25" x14ac:dyDescent="0.25">
      <c r="A27" s="10"/>
      <c r="B27" s="10"/>
      <c r="C27" s="12" t="s">
        <v>80</v>
      </c>
      <c r="D27" s="331" t="s">
        <v>81</v>
      </c>
      <c r="E27" s="229" t="s">
        <v>82</v>
      </c>
      <c r="F27" s="230"/>
      <c r="G27" s="321" t="s">
        <v>33</v>
      </c>
      <c r="H27" s="332">
        <f t="shared" ref="H27:M27" si="11">H33+H35+H37+H28</f>
        <v>29152.5</v>
      </c>
      <c r="I27" s="332">
        <f t="shared" si="11"/>
        <v>26008.3</v>
      </c>
      <c r="J27" s="333">
        <f t="shared" si="11"/>
        <v>30942.199999999997</v>
      </c>
      <c r="K27" s="333">
        <f t="shared" si="11"/>
        <v>27003.800000000003</v>
      </c>
      <c r="L27" s="333">
        <f t="shared" si="11"/>
        <v>28085.199999999997</v>
      </c>
      <c r="M27" s="333">
        <f t="shared" si="11"/>
        <v>29205.100000000002</v>
      </c>
    </row>
    <row r="28" spans="1:15" ht="30" x14ac:dyDescent="0.25">
      <c r="A28" s="10"/>
      <c r="B28" s="10"/>
      <c r="C28" s="15"/>
      <c r="D28" s="334" t="s">
        <v>1037</v>
      </c>
      <c r="E28" s="232" t="s">
        <v>275</v>
      </c>
      <c r="F28" s="230"/>
      <c r="G28" s="321" t="s">
        <v>34</v>
      </c>
      <c r="H28" s="335">
        <f>SUM(H29+H31)</f>
        <v>23857.3</v>
      </c>
      <c r="I28" s="335">
        <f t="shared" ref="I28:M28" si="12">SUM(I29+I31)</f>
        <v>22762.799999999999</v>
      </c>
      <c r="J28" s="335">
        <f t="shared" si="12"/>
        <v>25933.8</v>
      </c>
      <c r="K28" s="335">
        <f t="shared" si="12"/>
        <v>25604.400000000001</v>
      </c>
      <c r="L28" s="335">
        <f t="shared" si="12"/>
        <v>26630.6</v>
      </c>
      <c r="M28" s="335">
        <f t="shared" si="12"/>
        <v>27695.7</v>
      </c>
      <c r="N28" s="164"/>
      <c r="O28" s="164"/>
    </row>
    <row r="29" spans="1:15" ht="37.5" customHeight="1" x14ac:dyDescent="0.25">
      <c r="A29" s="10"/>
      <c r="B29" s="10"/>
      <c r="C29" s="15"/>
      <c r="D29" s="334" t="s">
        <v>1081</v>
      </c>
      <c r="E29" s="232" t="s">
        <v>956</v>
      </c>
      <c r="F29" s="230"/>
      <c r="G29" s="321" t="s">
        <v>35</v>
      </c>
      <c r="H29" s="335">
        <f>SUM(H30)</f>
        <v>16963</v>
      </c>
      <c r="I29" s="335">
        <f t="shared" ref="I29:M29" si="13">SUM(I30)</f>
        <v>14960.6</v>
      </c>
      <c r="J29" s="335">
        <f t="shared" si="13"/>
        <v>17224.599999999999</v>
      </c>
      <c r="K29" s="335">
        <f t="shared" si="13"/>
        <v>16898.900000000001</v>
      </c>
      <c r="L29" s="335">
        <f t="shared" si="13"/>
        <v>17576.2</v>
      </c>
      <c r="M29" s="335">
        <f t="shared" si="13"/>
        <v>18279.2</v>
      </c>
      <c r="N29" s="164"/>
      <c r="O29" s="164"/>
    </row>
    <row r="30" spans="1:15" ht="45" x14ac:dyDescent="0.25">
      <c r="A30" s="10"/>
      <c r="B30" s="10"/>
      <c r="C30" s="12"/>
      <c r="D30" s="328" t="s">
        <v>277</v>
      </c>
      <c r="E30" s="235" t="s">
        <v>956</v>
      </c>
      <c r="F30" s="224" t="s">
        <v>71</v>
      </c>
      <c r="G30" s="321" t="s">
        <v>36</v>
      </c>
      <c r="H30" s="336">
        <v>16963</v>
      </c>
      <c r="I30" s="336">
        <v>14960.6</v>
      </c>
      <c r="J30" s="337">
        <v>17224.599999999999</v>
      </c>
      <c r="K30" s="337">
        <v>16898.900000000001</v>
      </c>
      <c r="L30" s="337">
        <v>17576.2</v>
      </c>
      <c r="M30" s="337">
        <v>18279.2</v>
      </c>
    </row>
    <row r="31" spans="1:15" ht="47.25" customHeight="1" x14ac:dyDescent="0.25">
      <c r="A31" s="10"/>
      <c r="B31" s="10"/>
      <c r="C31" s="12"/>
      <c r="D31" s="334" t="s">
        <v>1082</v>
      </c>
      <c r="E31" s="232" t="s">
        <v>1049</v>
      </c>
      <c r="F31" s="222"/>
      <c r="G31" s="321" t="s">
        <v>37</v>
      </c>
      <c r="H31" s="335">
        <f>SUM(H32)</f>
        <v>6894.3</v>
      </c>
      <c r="I31" s="335">
        <f t="shared" ref="I31:M31" si="14">SUM(I32)</f>
        <v>7802.2</v>
      </c>
      <c r="J31" s="335">
        <f t="shared" si="14"/>
        <v>8709.2000000000007</v>
      </c>
      <c r="K31" s="335">
        <f t="shared" si="14"/>
        <v>8705.5</v>
      </c>
      <c r="L31" s="335">
        <f t="shared" si="14"/>
        <v>9054.4</v>
      </c>
      <c r="M31" s="335">
        <f t="shared" si="14"/>
        <v>9416.5</v>
      </c>
    </row>
    <row r="32" spans="1:15" ht="75" x14ac:dyDescent="0.25">
      <c r="A32" s="10"/>
      <c r="B32" s="10"/>
      <c r="C32" s="12"/>
      <c r="D32" s="328" t="s">
        <v>309</v>
      </c>
      <c r="E32" s="235" t="s">
        <v>308</v>
      </c>
      <c r="F32" s="224" t="s">
        <v>71</v>
      </c>
      <c r="G32" s="321" t="s">
        <v>38</v>
      </c>
      <c r="H32" s="336">
        <v>6894.3</v>
      </c>
      <c r="I32" s="336">
        <v>7802.2</v>
      </c>
      <c r="J32" s="337">
        <v>8709.2000000000007</v>
      </c>
      <c r="K32" s="337">
        <v>8705.5</v>
      </c>
      <c r="L32" s="337">
        <v>9054.4</v>
      </c>
      <c r="M32" s="337">
        <v>9416.5</v>
      </c>
    </row>
    <row r="33" spans="1:13" s="17" customFormat="1" ht="30" x14ac:dyDescent="0.25">
      <c r="A33" s="16"/>
      <c r="B33" s="16"/>
      <c r="C33" s="15"/>
      <c r="D33" s="334" t="s">
        <v>85</v>
      </c>
      <c r="E33" s="232" t="s">
        <v>101</v>
      </c>
      <c r="F33" s="234"/>
      <c r="G33" s="321" t="s">
        <v>39</v>
      </c>
      <c r="H33" s="335">
        <f>H34</f>
        <v>0.4</v>
      </c>
      <c r="I33" s="335">
        <f t="shared" ref="I33:M33" si="15">I34</f>
        <v>0.4</v>
      </c>
      <c r="J33" s="335">
        <f t="shared" si="15"/>
        <v>0.4</v>
      </c>
      <c r="K33" s="335">
        <f t="shared" si="15"/>
        <v>0</v>
      </c>
      <c r="L33" s="335">
        <f t="shared" si="15"/>
        <v>0</v>
      </c>
      <c r="M33" s="335">
        <f t="shared" si="15"/>
        <v>0</v>
      </c>
    </row>
    <row r="34" spans="1:13" ht="45" x14ac:dyDescent="0.25">
      <c r="A34" s="10"/>
      <c r="B34" s="10"/>
      <c r="C34" s="339"/>
      <c r="D34" s="328" t="s">
        <v>84</v>
      </c>
      <c r="E34" s="235" t="s">
        <v>101</v>
      </c>
      <c r="F34" s="224" t="s">
        <v>71</v>
      </c>
      <c r="G34" s="321" t="s">
        <v>279</v>
      </c>
      <c r="H34" s="326">
        <v>0.4</v>
      </c>
      <c r="I34" s="326">
        <v>0.4</v>
      </c>
      <c r="J34" s="337">
        <v>0.4</v>
      </c>
      <c r="K34" s="337">
        <v>0</v>
      </c>
      <c r="L34" s="337">
        <v>0</v>
      </c>
      <c r="M34" s="337">
        <v>0</v>
      </c>
    </row>
    <row r="35" spans="1:13" s="17" customFormat="1" x14ac:dyDescent="0.25">
      <c r="A35" s="16"/>
      <c r="B35" s="16"/>
      <c r="C35" s="15"/>
      <c r="D35" s="334" t="s">
        <v>87</v>
      </c>
      <c r="E35" s="232" t="s">
        <v>86</v>
      </c>
      <c r="F35" s="234"/>
      <c r="G35" s="321" t="s">
        <v>40</v>
      </c>
      <c r="H35" s="335">
        <f>H36</f>
        <v>171.9</v>
      </c>
      <c r="I35" s="335">
        <f t="shared" ref="I35:M35" si="16">I36</f>
        <v>174.3</v>
      </c>
      <c r="J35" s="338">
        <f t="shared" si="16"/>
        <v>174.3</v>
      </c>
      <c r="K35" s="338">
        <f t="shared" si="16"/>
        <v>148.9</v>
      </c>
      <c r="L35" s="338">
        <f t="shared" si="16"/>
        <v>154.1</v>
      </c>
      <c r="M35" s="338">
        <f t="shared" si="16"/>
        <v>156.9</v>
      </c>
    </row>
    <row r="36" spans="1:13" ht="45" x14ac:dyDescent="0.25">
      <c r="A36" s="10"/>
      <c r="B36" s="10"/>
      <c r="C36" s="11"/>
      <c r="D36" s="328" t="s">
        <v>88</v>
      </c>
      <c r="E36" s="235" t="s">
        <v>86</v>
      </c>
      <c r="F36" s="224" t="s">
        <v>71</v>
      </c>
      <c r="G36" s="321" t="s">
        <v>244</v>
      </c>
      <c r="H36" s="326">
        <v>171.9</v>
      </c>
      <c r="I36" s="326">
        <v>174.3</v>
      </c>
      <c r="J36" s="327">
        <v>174.3</v>
      </c>
      <c r="K36" s="337">
        <v>148.9</v>
      </c>
      <c r="L36" s="327">
        <v>154.1</v>
      </c>
      <c r="M36" s="327">
        <v>156.9</v>
      </c>
    </row>
    <row r="37" spans="1:13" s="17" customFormat="1" ht="30" x14ac:dyDescent="0.25">
      <c r="A37" s="16"/>
      <c r="B37" s="16"/>
      <c r="C37" s="15"/>
      <c r="D37" s="334" t="s">
        <v>90</v>
      </c>
      <c r="E37" s="232" t="s">
        <v>89</v>
      </c>
      <c r="F37" s="234"/>
      <c r="G37" s="321" t="s">
        <v>245</v>
      </c>
      <c r="H37" s="335">
        <f>H38</f>
        <v>5122.8999999999996</v>
      </c>
      <c r="I37" s="335">
        <f t="shared" ref="I37:M37" si="17">I38</f>
        <v>3070.8</v>
      </c>
      <c r="J37" s="338">
        <f>J38</f>
        <v>4833.7</v>
      </c>
      <c r="K37" s="338">
        <f t="shared" si="17"/>
        <v>1250.5</v>
      </c>
      <c r="L37" s="338">
        <f t="shared" si="17"/>
        <v>1300.5</v>
      </c>
      <c r="M37" s="338">
        <f t="shared" si="17"/>
        <v>1352.5</v>
      </c>
    </row>
    <row r="38" spans="1:13" ht="45" x14ac:dyDescent="0.25">
      <c r="A38" s="10"/>
      <c r="B38" s="10"/>
      <c r="C38" s="11"/>
      <c r="D38" s="235" t="s">
        <v>958</v>
      </c>
      <c r="E38" s="235" t="s">
        <v>957</v>
      </c>
      <c r="F38" s="224" t="s">
        <v>71</v>
      </c>
      <c r="G38" s="321" t="s">
        <v>41</v>
      </c>
      <c r="H38" s="326">
        <v>5122.8999999999996</v>
      </c>
      <c r="I38" s="326">
        <v>3070.8</v>
      </c>
      <c r="J38" s="327">
        <v>4833.7</v>
      </c>
      <c r="K38" s="327">
        <v>1250.5</v>
      </c>
      <c r="L38" s="327">
        <v>1300.5</v>
      </c>
      <c r="M38" s="327">
        <v>1352.5</v>
      </c>
    </row>
    <row r="39" spans="1:13" s="8" customFormat="1" x14ac:dyDescent="0.25">
      <c r="A39" s="13"/>
      <c r="B39" s="13"/>
      <c r="C39" s="12" t="s">
        <v>672</v>
      </c>
      <c r="D39" s="331" t="s">
        <v>673</v>
      </c>
      <c r="E39" s="229" t="s">
        <v>674</v>
      </c>
      <c r="F39" s="227"/>
      <c r="G39" s="321" t="s">
        <v>42</v>
      </c>
      <c r="H39" s="329">
        <f>H40+H42</f>
        <v>20689.3</v>
      </c>
      <c r="I39" s="329">
        <f t="shared" ref="I39:M39" si="18">I40+I42</f>
        <v>9600.9</v>
      </c>
      <c r="J39" s="323">
        <f t="shared" si="18"/>
        <v>19674.8</v>
      </c>
      <c r="K39" s="323">
        <f t="shared" si="18"/>
        <v>21809.5</v>
      </c>
      <c r="L39" s="323">
        <f t="shared" si="18"/>
        <v>22864.799999999999</v>
      </c>
      <c r="M39" s="323">
        <f t="shared" si="18"/>
        <v>23972.100000000002</v>
      </c>
    </row>
    <row r="40" spans="1:13" s="17" customFormat="1" x14ac:dyDescent="0.25">
      <c r="A40" s="16"/>
      <c r="B40" s="16"/>
      <c r="C40" s="15"/>
      <c r="D40" s="334" t="s">
        <v>675</v>
      </c>
      <c r="E40" s="232" t="s">
        <v>676</v>
      </c>
      <c r="F40" s="222"/>
      <c r="G40" s="321" t="s">
        <v>43</v>
      </c>
      <c r="H40" s="324">
        <f>H41</f>
        <v>9189.2999999999993</v>
      </c>
      <c r="I40" s="324">
        <f t="shared" ref="I40:M40" si="19">I41</f>
        <v>3648.4</v>
      </c>
      <c r="J40" s="325">
        <f t="shared" si="19"/>
        <v>8752.2999999999993</v>
      </c>
      <c r="K40" s="325">
        <f t="shared" si="19"/>
        <v>9672.9</v>
      </c>
      <c r="L40" s="325">
        <f t="shared" si="19"/>
        <v>10485.4</v>
      </c>
      <c r="M40" s="325">
        <f t="shared" si="19"/>
        <v>11345.2</v>
      </c>
    </row>
    <row r="41" spans="1:13" ht="45" x14ac:dyDescent="0.25">
      <c r="A41" s="10"/>
      <c r="B41" s="10"/>
      <c r="C41" s="11"/>
      <c r="D41" s="328" t="s">
        <v>679</v>
      </c>
      <c r="E41" s="235" t="s">
        <v>684</v>
      </c>
      <c r="F41" s="224" t="s">
        <v>71</v>
      </c>
      <c r="G41" s="321" t="s">
        <v>44</v>
      </c>
      <c r="H41" s="326">
        <v>9189.2999999999993</v>
      </c>
      <c r="I41" s="326">
        <v>3648.4</v>
      </c>
      <c r="J41" s="327">
        <v>8752.2999999999993</v>
      </c>
      <c r="K41" s="327">
        <v>9672.9</v>
      </c>
      <c r="L41" s="327">
        <v>10485.4</v>
      </c>
      <c r="M41" s="327">
        <v>11345.2</v>
      </c>
    </row>
    <row r="42" spans="1:13" s="17" customFormat="1" x14ac:dyDescent="0.25">
      <c r="A42" s="16"/>
      <c r="B42" s="16"/>
      <c r="C42" s="15"/>
      <c r="D42" s="334" t="s">
        <v>677</v>
      </c>
      <c r="E42" s="232" t="s">
        <v>678</v>
      </c>
      <c r="F42" s="222"/>
      <c r="G42" s="321" t="s">
        <v>45</v>
      </c>
      <c r="H42" s="324">
        <f>SUM(H45+H43)</f>
        <v>11500</v>
      </c>
      <c r="I42" s="324">
        <f t="shared" ref="I42:M42" si="20">SUM(I45+I43)</f>
        <v>5952.5</v>
      </c>
      <c r="J42" s="324">
        <f t="shared" si="20"/>
        <v>10922.5</v>
      </c>
      <c r="K42" s="324">
        <f t="shared" si="20"/>
        <v>12136.6</v>
      </c>
      <c r="L42" s="324">
        <f t="shared" si="20"/>
        <v>12379.4</v>
      </c>
      <c r="M42" s="324">
        <f t="shared" si="20"/>
        <v>12626.900000000001</v>
      </c>
    </row>
    <row r="43" spans="1:13" s="17" customFormat="1" x14ac:dyDescent="0.25">
      <c r="A43" s="16"/>
      <c r="B43" s="16"/>
      <c r="C43" s="15"/>
      <c r="D43" s="334" t="s">
        <v>1050</v>
      </c>
      <c r="E43" s="232" t="s">
        <v>1051</v>
      </c>
      <c r="F43" s="222"/>
      <c r="G43" s="321" t="s">
        <v>605</v>
      </c>
      <c r="H43" s="324">
        <f>SUM(H44)</f>
        <v>1617.6</v>
      </c>
      <c r="I43" s="324">
        <f t="shared" ref="I43:M43" si="21">SUM(I44)</f>
        <v>1506.5</v>
      </c>
      <c r="J43" s="324">
        <f t="shared" si="21"/>
        <v>1557.6</v>
      </c>
      <c r="K43" s="324">
        <f t="shared" si="21"/>
        <v>1713</v>
      </c>
      <c r="L43" s="324">
        <f t="shared" si="21"/>
        <v>1747.3</v>
      </c>
      <c r="M43" s="324">
        <f t="shared" si="21"/>
        <v>1782.2</v>
      </c>
    </row>
    <row r="44" spans="1:13" ht="45" x14ac:dyDescent="0.25">
      <c r="A44" s="10"/>
      <c r="B44" s="10"/>
      <c r="C44" s="11"/>
      <c r="D44" s="328" t="s">
        <v>680</v>
      </c>
      <c r="E44" s="235" t="s">
        <v>960</v>
      </c>
      <c r="F44" s="224" t="s">
        <v>71</v>
      </c>
      <c r="G44" s="321" t="s">
        <v>606</v>
      </c>
      <c r="H44" s="326">
        <v>1617.6</v>
      </c>
      <c r="I44" s="326">
        <v>1506.5</v>
      </c>
      <c r="J44" s="327">
        <v>1557.6</v>
      </c>
      <c r="K44" s="327">
        <v>1713</v>
      </c>
      <c r="L44" s="327">
        <v>1747.3</v>
      </c>
      <c r="M44" s="327">
        <v>1782.2</v>
      </c>
    </row>
    <row r="45" spans="1:13" x14ac:dyDescent="0.25">
      <c r="A45" s="10"/>
      <c r="B45" s="10"/>
      <c r="C45" s="11"/>
      <c r="D45" s="334" t="s">
        <v>1052</v>
      </c>
      <c r="E45" s="232" t="s">
        <v>1053</v>
      </c>
      <c r="F45" s="224"/>
      <c r="G45" s="321" t="s">
        <v>46</v>
      </c>
      <c r="H45" s="324">
        <f>SUM(H46)</f>
        <v>9882.4</v>
      </c>
      <c r="I45" s="324">
        <f t="shared" ref="I45:M45" si="22">SUM(I46)</f>
        <v>4446</v>
      </c>
      <c r="J45" s="324">
        <f t="shared" si="22"/>
        <v>9364.9</v>
      </c>
      <c r="K45" s="324">
        <f t="shared" si="22"/>
        <v>10423.6</v>
      </c>
      <c r="L45" s="324">
        <f t="shared" si="22"/>
        <v>10632.1</v>
      </c>
      <c r="M45" s="324">
        <f t="shared" si="22"/>
        <v>10844.7</v>
      </c>
    </row>
    <row r="46" spans="1:13" ht="45" x14ac:dyDescent="0.25">
      <c r="A46" s="10"/>
      <c r="B46" s="10"/>
      <c r="C46" s="11"/>
      <c r="D46" s="328" t="s">
        <v>681</v>
      </c>
      <c r="E46" s="235" t="s">
        <v>959</v>
      </c>
      <c r="F46" s="224" t="s">
        <v>71</v>
      </c>
      <c r="G46" s="321" t="s">
        <v>47</v>
      </c>
      <c r="H46" s="326">
        <v>9882.4</v>
      </c>
      <c r="I46" s="326">
        <v>4446</v>
      </c>
      <c r="J46" s="327">
        <v>9364.9</v>
      </c>
      <c r="K46" s="327">
        <v>10423.6</v>
      </c>
      <c r="L46" s="327">
        <v>10632.1</v>
      </c>
      <c r="M46" s="327">
        <v>10844.7</v>
      </c>
    </row>
    <row r="47" spans="1:13" s="8" customFormat="1" x14ac:dyDescent="0.25">
      <c r="A47" s="13"/>
      <c r="B47" s="13"/>
      <c r="C47" s="12" t="s">
        <v>93</v>
      </c>
      <c r="D47" s="331" t="s">
        <v>1083</v>
      </c>
      <c r="E47" s="229" t="s">
        <v>94</v>
      </c>
      <c r="F47" s="236"/>
      <c r="G47" s="321" t="s">
        <v>48</v>
      </c>
      <c r="H47" s="332">
        <f>SUM(H48)</f>
        <v>6188.2</v>
      </c>
      <c r="I47" s="332">
        <f t="shared" ref="I47:M47" si="23">SUM(I48)</f>
        <v>3922.8</v>
      </c>
      <c r="J47" s="333">
        <f t="shared" si="23"/>
        <v>5091.1000000000004</v>
      </c>
      <c r="K47" s="333">
        <f t="shared" si="23"/>
        <v>5153.8999999999996</v>
      </c>
      <c r="L47" s="333">
        <f t="shared" si="23"/>
        <v>5287.7</v>
      </c>
      <c r="M47" s="333">
        <f t="shared" si="23"/>
        <v>5424.8</v>
      </c>
    </row>
    <row r="48" spans="1:13" s="17" customFormat="1" ht="33.75" customHeight="1" x14ac:dyDescent="0.25">
      <c r="A48" s="16"/>
      <c r="B48" s="16"/>
      <c r="C48" s="15"/>
      <c r="D48" s="334" t="s">
        <v>102</v>
      </c>
      <c r="E48" s="232" t="s">
        <v>95</v>
      </c>
      <c r="F48" s="234"/>
      <c r="G48" s="321" t="s">
        <v>280</v>
      </c>
      <c r="H48" s="335">
        <f>H49</f>
        <v>6188.2</v>
      </c>
      <c r="I48" s="335">
        <f t="shared" ref="I48:M48" si="24">I49</f>
        <v>3922.8</v>
      </c>
      <c r="J48" s="338">
        <f t="shared" si="24"/>
        <v>5091.1000000000004</v>
      </c>
      <c r="K48" s="338">
        <f t="shared" si="24"/>
        <v>5153.8999999999996</v>
      </c>
      <c r="L48" s="338">
        <f t="shared" si="24"/>
        <v>5287.7</v>
      </c>
      <c r="M48" s="338">
        <f t="shared" si="24"/>
        <v>5424.8</v>
      </c>
    </row>
    <row r="49" spans="1:17" ht="42" customHeight="1" x14ac:dyDescent="0.25">
      <c r="A49" s="10"/>
      <c r="B49" s="10"/>
      <c r="C49" s="11"/>
      <c r="D49" s="328" t="s">
        <v>96</v>
      </c>
      <c r="E49" s="235" t="s">
        <v>1038</v>
      </c>
      <c r="F49" s="224" t="s">
        <v>71</v>
      </c>
      <c r="G49" s="321" t="s">
        <v>49</v>
      </c>
      <c r="H49" s="326">
        <v>6188.2</v>
      </c>
      <c r="I49" s="326">
        <v>3922.8</v>
      </c>
      <c r="J49" s="327">
        <v>5091.1000000000004</v>
      </c>
      <c r="K49" s="327">
        <v>5153.8999999999996</v>
      </c>
      <c r="L49" s="327">
        <v>5287.7</v>
      </c>
      <c r="M49" s="327">
        <v>5424.8</v>
      </c>
      <c r="P49" s="64"/>
    </row>
    <row r="50" spans="1:17" s="8" customFormat="1" ht="29.25" x14ac:dyDescent="0.25">
      <c r="A50" s="119"/>
      <c r="B50" s="119"/>
      <c r="C50" s="120" t="s">
        <v>112</v>
      </c>
      <c r="D50" s="340"/>
      <c r="E50" s="120" t="s">
        <v>1003</v>
      </c>
      <c r="F50" s="121"/>
      <c r="G50" s="319" t="s">
        <v>607</v>
      </c>
      <c r="H50" s="341">
        <f t="shared" ref="H50:M50" si="25">H51+H69+H74+H91+H106+H143</f>
        <v>42451.700000000004</v>
      </c>
      <c r="I50" s="341">
        <f t="shared" si="25"/>
        <v>38605.919999999998</v>
      </c>
      <c r="J50" s="341">
        <f t="shared" si="25"/>
        <v>44977.7</v>
      </c>
      <c r="K50" s="341">
        <f t="shared" si="25"/>
        <v>32129.600000000002</v>
      </c>
      <c r="L50" s="341">
        <f t="shared" si="25"/>
        <v>33022.799999999996</v>
      </c>
      <c r="M50" s="341">
        <f t="shared" si="25"/>
        <v>33990.9</v>
      </c>
      <c r="O50" s="203"/>
    </row>
    <row r="51" spans="1:17" s="8" customFormat="1" ht="72" x14ac:dyDescent="0.25">
      <c r="A51" s="13"/>
      <c r="B51" s="13"/>
      <c r="C51" s="12" t="s">
        <v>113</v>
      </c>
      <c r="D51" s="331" t="s">
        <v>114</v>
      </c>
      <c r="E51" s="229" t="s">
        <v>115</v>
      </c>
      <c r="F51" s="227"/>
      <c r="G51" s="321" t="s">
        <v>50</v>
      </c>
      <c r="H51" s="332">
        <f>H52+H63+H66+H60</f>
        <v>18342.200000000004</v>
      </c>
      <c r="I51" s="332">
        <f t="shared" ref="I51:M51" si="26">I52+I63+I66+I60</f>
        <v>14427.72</v>
      </c>
      <c r="J51" s="332">
        <f t="shared" si="26"/>
        <v>17666.5</v>
      </c>
      <c r="K51" s="332">
        <f t="shared" si="26"/>
        <v>15577.400000000001</v>
      </c>
      <c r="L51" s="332">
        <f t="shared" si="26"/>
        <v>16200.499999999998</v>
      </c>
      <c r="M51" s="332">
        <f t="shared" si="26"/>
        <v>16848.500000000004</v>
      </c>
      <c r="O51" s="203"/>
    </row>
    <row r="52" spans="1:17" s="17" customFormat="1" ht="91.5" customHeight="1" x14ac:dyDescent="0.25">
      <c r="A52" s="16"/>
      <c r="B52" s="16"/>
      <c r="C52" s="15"/>
      <c r="D52" s="334" t="s">
        <v>131</v>
      </c>
      <c r="E52" s="232" t="s">
        <v>989</v>
      </c>
      <c r="F52" s="222"/>
      <c r="G52" s="321" t="s">
        <v>51</v>
      </c>
      <c r="H52" s="335">
        <f>SUM(H53+H56+H58)</f>
        <v>17905.400000000001</v>
      </c>
      <c r="I52" s="335">
        <f>SUM(I53+I56+I58)</f>
        <v>14025.22</v>
      </c>
      <c r="J52" s="335">
        <f t="shared" ref="J52:M52" si="27">SUM(J53+J56+J58)</f>
        <v>17211.099999999999</v>
      </c>
      <c r="K52" s="335">
        <f t="shared" si="27"/>
        <v>15161.7</v>
      </c>
      <c r="L52" s="335">
        <f t="shared" si="27"/>
        <v>15768.199999999999</v>
      </c>
      <c r="M52" s="335">
        <f t="shared" si="27"/>
        <v>16398.900000000001</v>
      </c>
      <c r="P52" s="245"/>
      <c r="Q52" s="245"/>
    </row>
    <row r="53" spans="1:17" s="17" customFormat="1" ht="91.5" customHeight="1" x14ac:dyDescent="0.25">
      <c r="A53" s="16"/>
      <c r="B53" s="16"/>
      <c r="C53" s="15"/>
      <c r="D53" s="334" t="s">
        <v>1054</v>
      </c>
      <c r="E53" s="232" t="s">
        <v>1055</v>
      </c>
      <c r="F53" s="222"/>
      <c r="G53" s="321" t="s">
        <v>52</v>
      </c>
      <c r="H53" s="335">
        <f>SUM(H54:H55)</f>
        <v>11157</v>
      </c>
      <c r="I53" s="335">
        <f t="shared" ref="I53" si="28">SUM(I54:I55)</f>
        <v>9062.32</v>
      </c>
      <c r="J53" s="335">
        <f t="shared" ref="J53" si="29">SUM(J54:J55)</f>
        <v>10727.4</v>
      </c>
      <c r="K53" s="335">
        <f t="shared" ref="K53" si="30">SUM(K54:K55)</f>
        <v>8913.7999999999993</v>
      </c>
      <c r="L53" s="335">
        <f t="shared" ref="L53" si="31">SUM(L54:L55)</f>
        <v>9270.4</v>
      </c>
      <c r="M53" s="335">
        <f t="shared" ref="M53" si="32">SUM(M54:M55)</f>
        <v>9641.2000000000007</v>
      </c>
      <c r="P53" s="245"/>
      <c r="Q53" s="245"/>
    </row>
    <row r="54" spans="1:17" ht="90" x14ac:dyDescent="0.25">
      <c r="A54" s="10"/>
      <c r="B54" s="10"/>
      <c r="C54" s="11"/>
      <c r="D54" s="328" t="s">
        <v>990</v>
      </c>
      <c r="E54" s="235" t="s">
        <v>689</v>
      </c>
      <c r="F54" s="224" t="s">
        <v>710</v>
      </c>
      <c r="G54" s="321" t="s">
        <v>53</v>
      </c>
      <c r="H54" s="326">
        <v>11157</v>
      </c>
      <c r="I54" s="326">
        <v>9062.2999999999993</v>
      </c>
      <c r="J54" s="327">
        <v>10727.4</v>
      </c>
      <c r="K54" s="327">
        <v>8913.7999999999993</v>
      </c>
      <c r="L54" s="327">
        <v>9270.4</v>
      </c>
      <c r="M54" s="327">
        <v>9641.2000000000007</v>
      </c>
      <c r="N54" s="164"/>
      <c r="O54" s="288"/>
      <c r="P54" s="164"/>
    </row>
    <row r="55" spans="1:17" ht="90" x14ac:dyDescent="0.25">
      <c r="A55" s="10"/>
      <c r="B55" s="10"/>
      <c r="C55" s="11"/>
      <c r="D55" s="328" t="s">
        <v>951</v>
      </c>
      <c r="E55" s="330" t="s">
        <v>689</v>
      </c>
      <c r="F55" s="224" t="s">
        <v>1039</v>
      </c>
      <c r="G55" s="321" t="s">
        <v>281</v>
      </c>
      <c r="H55" s="326">
        <v>0</v>
      </c>
      <c r="I55" s="326">
        <v>0.02</v>
      </c>
      <c r="J55" s="327">
        <v>0</v>
      </c>
      <c r="K55" s="327">
        <v>0</v>
      </c>
      <c r="L55" s="327">
        <v>0</v>
      </c>
      <c r="M55" s="327">
        <v>0</v>
      </c>
    </row>
    <row r="56" spans="1:17" ht="90" x14ac:dyDescent="0.25">
      <c r="A56" s="10"/>
      <c r="B56" s="10"/>
      <c r="C56" s="11"/>
      <c r="D56" s="334" t="s">
        <v>1056</v>
      </c>
      <c r="E56" s="342" t="s">
        <v>1058</v>
      </c>
      <c r="F56" s="222"/>
      <c r="G56" s="321" t="s">
        <v>54</v>
      </c>
      <c r="H56" s="324">
        <f>SUM(H57)</f>
        <v>712.7</v>
      </c>
      <c r="I56" s="324">
        <f t="shared" ref="I56:M56" si="33">SUM(I57)</f>
        <v>918</v>
      </c>
      <c r="J56" s="324">
        <f t="shared" si="33"/>
        <v>1062.8</v>
      </c>
      <c r="K56" s="324">
        <f t="shared" si="33"/>
        <v>881.6</v>
      </c>
      <c r="L56" s="324">
        <f t="shared" si="33"/>
        <v>916.8</v>
      </c>
      <c r="M56" s="324">
        <f t="shared" si="33"/>
        <v>953.5</v>
      </c>
    </row>
    <row r="57" spans="1:17" ht="90" x14ac:dyDescent="0.25">
      <c r="A57" s="10"/>
      <c r="B57" s="10"/>
      <c r="C57" s="11"/>
      <c r="D57" s="328" t="s">
        <v>690</v>
      </c>
      <c r="E57" s="235" t="s">
        <v>692</v>
      </c>
      <c r="F57" s="224" t="s">
        <v>710</v>
      </c>
      <c r="G57" s="321" t="s">
        <v>55</v>
      </c>
      <c r="H57" s="326">
        <v>712.7</v>
      </c>
      <c r="I57" s="326">
        <v>918</v>
      </c>
      <c r="J57" s="327">
        <v>1062.8</v>
      </c>
      <c r="K57" s="327">
        <v>881.6</v>
      </c>
      <c r="L57" s="327">
        <v>916.8</v>
      </c>
      <c r="M57" s="327">
        <v>953.5</v>
      </c>
    </row>
    <row r="58" spans="1:17" ht="105" x14ac:dyDescent="0.25">
      <c r="A58" s="10"/>
      <c r="B58" s="10"/>
      <c r="C58" s="11"/>
      <c r="D58" s="334" t="s">
        <v>1057</v>
      </c>
      <c r="E58" s="232" t="s">
        <v>1059</v>
      </c>
      <c r="F58" s="224"/>
      <c r="G58" s="321" t="s">
        <v>56</v>
      </c>
      <c r="H58" s="324">
        <f>SUM(H59)</f>
        <v>6035.7</v>
      </c>
      <c r="I58" s="324">
        <f t="shared" ref="I58:M58" si="34">SUM(I59)</f>
        <v>4044.9</v>
      </c>
      <c r="J58" s="324">
        <f t="shared" si="34"/>
        <v>5420.9</v>
      </c>
      <c r="K58" s="324">
        <f t="shared" si="34"/>
        <v>5366.3</v>
      </c>
      <c r="L58" s="324">
        <f t="shared" si="34"/>
        <v>5581</v>
      </c>
      <c r="M58" s="324">
        <f t="shared" si="34"/>
        <v>5804.2</v>
      </c>
    </row>
    <row r="59" spans="1:17" ht="75" x14ac:dyDescent="0.25">
      <c r="A59" s="10"/>
      <c r="B59" s="10"/>
      <c r="C59" s="11"/>
      <c r="D59" s="328" t="s">
        <v>691</v>
      </c>
      <c r="E59" s="235" t="s">
        <v>693</v>
      </c>
      <c r="F59" s="224" t="s">
        <v>710</v>
      </c>
      <c r="G59" s="321" t="s">
        <v>57</v>
      </c>
      <c r="H59" s="326">
        <v>6035.7</v>
      </c>
      <c r="I59" s="326">
        <v>4044.9</v>
      </c>
      <c r="J59" s="326">
        <v>5420.9</v>
      </c>
      <c r="K59" s="327">
        <v>5366.3</v>
      </c>
      <c r="L59" s="327">
        <v>5581</v>
      </c>
      <c r="M59" s="327">
        <v>5804.2</v>
      </c>
    </row>
    <row r="60" spans="1:17" ht="45" x14ac:dyDescent="0.25">
      <c r="A60" s="10"/>
      <c r="B60" s="10"/>
      <c r="C60" s="11"/>
      <c r="D60" s="334" t="s">
        <v>1061</v>
      </c>
      <c r="E60" s="232" t="s">
        <v>1060</v>
      </c>
      <c r="F60" s="222"/>
      <c r="G60" s="321" t="s">
        <v>58</v>
      </c>
      <c r="H60" s="324">
        <f>SUM(H61)</f>
        <v>2.2000000000000002</v>
      </c>
      <c r="I60" s="324">
        <f t="shared" ref="I60:M61" si="35">SUM(I61)</f>
        <v>4.2</v>
      </c>
      <c r="J60" s="324">
        <f t="shared" si="35"/>
        <v>4.2</v>
      </c>
      <c r="K60" s="324">
        <f t="shared" si="35"/>
        <v>3.3</v>
      </c>
      <c r="L60" s="324">
        <f t="shared" si="35"/>
        <v>3.4</v>
      </c>
      <c r="M60" s="324">
        <f t="shared" si="35"/>
        <v>3.5</v>
      </c>
    </row>
    <row r="61" spans="1:17" ht="45" x14ac:dyDescent="0.25">
      <c r="A61" s="10"/>
      <c r="B61" s="10"/>
      <c r="C61" s="11"/>
      <c r="D61" s="334" t="s">
        <v>1062</v>
      </c>
      <c r="E61" s="232" t="s">
        <v>1063</v>
      </c>
      <c r="F61" s="222"/>
      <c r="G61" s="321" t="s">
        <v>59</v>
      </c>
      <c r="H61" s="324">
        <f>SUM(H62)</f>
        <v>2.2000000000000002</v>
      </c>
      <c r="I61" s="324">
        <f t="shared" si="35"/>
        <v>4.2</v>
      </c>
      <c r="J61" s="324">
        <f t="shared" si="35"/>
        <v>4.2</v>
      </c>
      <c r="K61" s="324">
        <f t="shared" si="35"/>
        <v>3.3</v>
      </c>
      <c r="L61" s="324">
        <f t="shared" si="35"/>
        <v>3.4</v>
      </c>
      <c r="M61" s="324">
        <f t="shared" si="35"/>
        <v>3.5</v>
      </c>
    </row>
    <row r="62" spans="1:17" ht="123.75" customHeight="1" x14ac:dyDescent="0.25">
      <c r="A62" s="10"/>
      <c r="B62" s="10"/>
      <c r="C62" s="11"/>
      <c r="D62" s="237" t="s">
        <v>834</v>
      </c>
      <c r="E62" s="235" t="s">
        <v>833</v>
      </c>
      <c r="F62" s="224" t="s">
        <v>710</v>
      </c>
      <c r="G62" s="321" t="s">
        <v>60</v>
      </c>
      <c r="H62" s="326">
        <v>2.2000000000000002</v>
      </c>
      <c r="I62" s="326">
        <v>4.2</v>
      </c>
      <c r="J62" s="326">
        <v>4.2</v>
      </c>
      <c r="K62" s="327">
        <v>3.3</v>
      </c>
      <c r="L62" s="327">
        <v>3.4</v>
      </c>
      <c r="M62" s="327">
        <v>3.5</v>
      </c>
      <c r="N62" s="164"/>
      <c r="O62" s="164"/>
    </row>
    <row r="63" spans="1:17" s="17" customFormat="1" ht="30" x14ac:dyDescent="0.25">
      <c r="A63" s="16"/>
      <c r="B63" s="16"/>
      <c r="C63" s="15"/>
      <c r="D63" s="334" t="s">
        <v>133</v>
      </c>
      <c r="E63" s="232" t="s">
        <v>132</v>
      </c>
      <c r="F63" s="222"/>
      <c r="G63" s="321" t="s">
        <v>61</v>
      </c>
      <c r="H63" s="324">
        <f>SUM(H64)</f>
        <v>33.9</v>
      </c>
      <c r="I63" s="324">
        <f t="shared" ref="I63:M64" si="36">SUM(I64)</f>
        <v>33.9</v>
      </c>
      <c r="J63" s="324">
        <f t="shared" si="36"/>
        <v>33.9</v>
      </c>
      <c r="K63" s="324">
        <f t="shared" si="36"/>
        <v>42.2</v>
      </c>
      <c r="L63" s="324">
        <f t="shared" si="36"/>
        <v>43.9</v>
      </c>
      <c r="M63" s="324">
        <f t="shared" si="36"/>
        <v>45.7</v>
      </c>
    </row>
    <row r="64" spans="1:17" s="17" customFormat="1" ht="69" customHeight="1" x14ac:dyDescent="0.25">
      <c r="A64" s="16"/>
      <c r="B64" s="16"/>
      <c r="C64" s="15"/>
      <c r="D64" s="334" t="s">
        <v>1064</v>
      </c>
      <c r="E64" s="232" t="s">
        <v>1065</v>
      </c>
      <c r="F64" s="222"/>
      <c r="G64" s="321" t="s">
        <v>62</v>
      </c>
      <c r="H64" s="324">
        <f>SUM(H65)</f>
        <v>33.9</v>
      </c>
      <c r="I64" s="324">
        <f t="shared" si="36"/>
        <v>33.9</v>
      </c>
      <c r="J64" s="324">
        <f t="shared" si="36"/>
        <v>33.9</v>
      </c>
      <c r="K64" s="324">
        <f t="shared" si="36"/>
        <v>42.2</v>
      </c>
      <c r="L64" s="324">
        <f t="shared" si="36"/>
        <v>43.9</v>
      </c>
      <c r="M64" s="324">
        <f t="shared" si="36"/>
        <v>45.7</v>
      </c>
    </row>
    <row r="65" spans="1:13" ht="75" x14ac:dyDescent="0.25">
      <c r="A65" s="10"/>
      <c r="B65" s="10"/>
      <c r="C65" s="11"/>
      <c r="D65" s="328" t="s">
        <v>694</v>
      </c>
      <c r="E65" s="235" t="s">
        <v>695</v>
      </c>
      <c r="F65" s="224" t="s">
        <v>710</v>
      </c>
      <c r="G65" s="321" t="s">
        <v>246</v>
      </c>
      <c r="H65" s="326">
        <v>33.9</v>
      </c>
      <c r="I65" s="326">
        <v>33.9</v>
      </c>
      <c r="J65" s="326">
        <v>33.9</v>
      </c>
      <c r="K65" s="327">
        <v>42.2</v>
      </c>
      <c r="L65" s="327">
        <v>43.9</v>
      </c>
      <c r="M65" s="327">
        <v>45.7</v>
      </c>
    </row>
    <row r="66" spans="1:13" s="17" customFormat="1" ht="90" x14ac:dyDescent="0.25">
      <c r="A66" s="16"/>
      <c r="B66" s="16"/>
      <c r="C66" s="15"/>
      <c r="D66" s="334" t="s">
        <v>135</v>
      </c>
      <c r="E66" s="232" t="s">
        <v>991</v>
      </c>
      <c r="F66" s="222"/>
      <c r="G66" s="321" t="s">
        <v>63</v>
      </c>
      <c r="H66" s="324">
        <f>SUM(H67)</f>
        <v>400.7</v>
      </c>
      <c r="I66" s="324">
        <f t="shared" ref="I66:M67" si="37">SUM(I67)</f>
        <v>364.4</v>
      </c>
      <c r="J66" s="324">
        <f t="shared" si="37"/>
        <v>417.3</v>
      </c>
      <c r="K66" s="324">
        <f t="shared" si="37"/>
        <v>370.2</v>
      </c>
      <c r="L66" s="324">
        <f t="shared" si="37"/>
        <v>385</v>
      </c>
      <c r="M66" s="324">
        <f t="shared" si="37"/>
        <v>400.4</v>
      </c>
    </row>
    <row r="67" spans="1:13" s="17" customFormat="1" ht="90" x14ac:dyDescent="0.25">
      <c r="A67" s="16"/>
      <c r="B67" s="16"/>
      <c r="C67" s="15"/>
      <c r="D67" s="334" t="s">
        <v>1066</v>
      </c>
      <c r="E67" s="15" t="s">
        <v>1084</v>
      </c>
      <c r="F67" s="222"/>
      <c r="G67" s="321" t="s">
        <v>64</v>
      </c>
      <c r="H67" s="324">
        <f>SUM(H68)</f>
        <v>400.7</v>
      </c>
      <c r="I67" s="324">
        <f t="shared" si="37"/>
        <v>364.4</v>
      </c>
      <c r="J67" s="324">
        <f t="shared" si="37"/>
        <v>417.3</v>
      </c>
      <c r="K67" s="324">
        <f t="shared" si="37"/>
        <v>370.2</v>
      </c>
      <c r="L67" s="324">
        <f t="shared" si="37"/>
        <v>385</v>
      </c>
      <c r="M67" s="324">
        <f t="shared" si="37"/>
        <v>400.4</v>
      </c>
    </row>
    <row r="68" spans="1:13" ht="81" customHeight="1" x14ac:dyDescent="0.25">
      <c r="A68" s="10"/>
      <c r="B68" s="10"/>
      <c r="C68" s="11"/>
      <c r="D68" s="328" t="s">
        <v>697</v>
      </c>
      <c r="E68" s="235" t="s">
        <v>696</v>
      </c>
      <c r="F68" s="224" t="s">
        <v>710</v>
      </c>
      <c r="G68" s="321" t="s">
        <v>247</v>
      </c>
      <c r="H68" s="336">
        <v>400.7</v>
      </c>
      <c r="I68" s="336">
        <v>364.4</v>
      </c>
      <c r="J68" s="336">
        <v>417.3</v>
      </c>
      <c r="K68" s="337">
        <v>370.2</v>
      </c>
      <c r="L68" s="337">
        <v>385</v>
      </c>
      <c r="M68" s="337">
        <v>400.4</v>
      </c>
    </row>
    <row r="69" spans="1:13" s="8" customFormat="1" ht="29.25" x14ac:dyDescent="0.25">
      <c r="A69" s="13"/>
      <c r="B69" s="13"/>
      <c r="C69" s="12" t="s">
        <v>1006</v>
      </c>
      <c r="D69" s="331" t="s">
        <v>128</v>
      </c>
      <c r="E69" s="229" t="s">
        <v>887</v>
      </c>
      <c r="F69" s="227"/>
      <c r="G69" s="321" t="s">
        <v>282</v>
      </c>
      <c r="H69" s="332">
        <f>H70</f>
        <v>43.8</v>
      </c>
      <c r="I69" s="332">
        <f t="shared" ref="I69:M69" si="38">I70</f>
        <v>31.400000000000002</v>
      </c>
      <c r="J69" s="333">
        <f t="shared" si="38"/>
        <v>33.799999999999997</v>
      </c>
      <c r="K69" s="333">
        <f t="shared" si="38"/>
        <v>0</v>
      </c>
      <c r="L69" s="333">
        <f t="shared" si="38"/>
        <v>0</v>
      </c>
      <c r="M69" s="333">
        <f t="shared" si="38"/>
        <v>0</v>
      </c>
    </row>
    <row r="70" spans="1:13" s="17" customFormat="1" ht="30" x14ac:dyDescent="0.25">
      <c r="A70" s="16"/>
      <c r="B70" s="16"/>
      <c r="C70" s="15"/>
      <c r="D70" s="334" t="s">
        <v>140</v>
      </c>
      <c r="E70" s="232" t="s">
        <v>139</v>
      </c>
      <c r="F70" s="222"/>
      <c r="G70" s="321" t="s">
        <v>65</v>
      </c>
      <c r="H70" s="335">
        <f>SUM(H71+H72)</f>
        <v>43.8</v>
      </c>
      <c r="I70" s="335">
        <f t="shared" ref="I70:M70" si="39">SUM(I71+I72)</f>
        <v>31.400000000000002</v>
      </c>
      <c r="J70" s="335">
        <f t="shared" si="39"/>
        <v>33.799999999999997</v>
      </c>
      <c r="K70" s="335">
        <f t="shared" si="39"/>
        <v>0</v>
      </c>
      <c r="L70" s="335">
        <f t="shared" si="39"/>
        <v>0</v>
      </c>
      <c r="M70" s="335">
        <f t="shared" si="39"/>
        <v>0</v>
      </c>
    </row>
    <row r="71" spans="1:13" ht="87" customHeight="1" x14ac:dyDescent="0.25">
      <c r="A71" s="10"/>
      <c r="B71" s="10"/>
      <c r="C71" s="11"/>
      <c r="D71" s="328" t="s">
        <v>143</v>
      </c>
      <c r="E71" s="282" t="s">
        <v>141</v>
      </c>
      <c r="F71" s="224" t="s">
        <v>1040</v>
      </c>
      <c r="G71" s="321" t="s">
        <v>66</v>
      </c>
      <c r="H71" s="326">
        <v>40.5</v>
      </c>
      <c r="I71" s="326">
        <v>32.6</v>
      </c>
      <c r="J71" s="327">
        <v>34.799999999999997</v>
      </c>
      <c r="K71" s="327">
        <v>0</v>
      </c>
      <c r="L71" s="337">
        <v>0</v>
      </c>
      <c r="M71" s="337">
        <v>0</v>
      </c>
    </row>
    <row r="72" spans="1:13" ht="47.25" customHeight="1" x14ac:dyDescent="0.25">
      <c r="A72" s="10"/>
      <c r="B72" s="10"/>
      <c r="C72" s="11"/>
      <c r="D72" s="334" t="s">
        <v>1067</v>
      </c>
      <c r="E72" s="343" t="s">
        <v>145</v>
      </c>
      <c r="F72" s="224"/>
      <c r="G72" s="321" t="s">
        <v>67</v>
      </c>
      <c r="H72" s="324">
        <f>SUM(H73)</f>
        <v>3.3</v>
      </c>
      <c r="I72" s="324">
        <f t="shared" ref="I72:M72" si="40">SUM(I73)</f>
        <v>-1.2</v>
      </c>
      <c r="J72" s="324">
        <f t="shared" si="40"/>
        <v>-1</v>
      </c>
      <c r="K72" s="324">
        <f t="shared" si="40"/>
        <v>0</v>
      </c>
      <c r="L72" s="324">
        <f t="shared" si="40"/>
        <v>0</v>
      </c>
      <c r="M72" s="324">
        <f t="shared" si="40"/>
        <v>0</v>
      </c>
    </row>
    <row r="73" spans="1:13" ht="90" x14ac:dyDescent="0.25">
      <c r="A73" s="10"/>
      <c r="B73" s="10"/>
      <c r="C73" s="11"/>
      <c r="D73" s="328" t="s">
        <v>236</v>
      </c>
      <c r="E73" s="282" t="s">
        <v>1041</v>
      </c>
      <c r="F73" s="224" t="s">
        <v>1040</v>
      </c>
      <c r="G73" s="321" t="s">
        <v>248</v>
      </c>
      <c r="H73" s="326">
        <v>3.3</v>
      </c>
      <c r="I73" s="326">
        <v>-1.2</v>
      </c>
      <c r="J73" s="327">
        <v>-1</v>
      </c>
      <c r="K73" s="327">
        <v>0</v>
      </c>
      <c r="L73" s="327">
        <v>0</v>
      </c>
      <c r="M73" s="327">
        <v>0</v>
      </c>
    </row>
    <row r="74" spans="1:13" s="8" customFormat="1" ht="57.75" x14ac:dyDescent="0.25">
      <c r="A74" s="13"/>
      <c r="B74" s="13"/>
      <c r="C74" s="12" t="s">
        <v>147</v>
      </c>
      <c r="D74" s="331" t="s">
        <v>149</v>
      </c>
      <c r="E74" s="229" t="s">
        <v>870</v>
      </c>
      <c r="F74" s="227"/>
      <c r="G74" s="321" t="s">
        <v>136</v>
      </c>
      <c r="H74" s="332">
        <f t="shared" ref="H74:M74" si="41">H75+H79</f>
        <v>17764.3</v>
      </c>
      <c r="I74" s="332">
        <f t="shared" si="41"/>
        <v>17035.3</v>
      </c>
      <c r="J74" s="333">
        <f t="shared" si="41"/>
        <v>20371.599999999999</v>
      </c>
      <c r="K74" s="333">
        <f t="shared" si="41"/>
        <v>13152.2</v>
      </c>
      <c r="L74" s="333">
        <f t="shared" si="41"/>
        <v>13678.3</v>
      </c>
      <c r="M74" s="333">
        <f t="shared" si="41"/>
        <v>14225.4</v>
      </c>
    </row>
    <row r="75" spans="1:13" s="17" customFormat="1" x14ac:dyDescent="0.25">
      <c r="A75" s="16"/>
      <c r="B75" s="16"/>
      <c r="C75" s="15"/>
      <c r="D75" s="334" t="s">
        <v>151</v>
      </c>
      <c r="E75" s="232" t="s">
        <v>150</v>
      </c>
      <c r="F75" s="222"/>
      <c r="G75" s="321" t="s">
        <v>137</v>
      </c>
      <c r="H75" s="335">
        <f>SUM(H76)</f>
        <v>14492.1</v>
      </c>
      <c r="I75" s="335">
        <f t="shared" ref="I75:M75" si="42">SUM(I76)</f>
        <v>13231.3</v>
      </c>
      <c r="J75" s="335">
        <f t="shared" si="42"/>
        <v>16360</v>
      </c>
      <c r="K75" s="335">
        <f t="shared" si="42"/>
        <v>11647</v>
      </c>
      <c r="L75" s="335">
        <f t="shared" si="42"/>
        <v>12112.9</v>
      </c>
      <c r="M75" s="335">
        <f t="shared" si="42"/>
        <v>12597.4</v>
      </c>
    </row>
    <row r="76" spans="1:13" s="17" customFormat="1" x14ac:dyDescent="0.25">
      <c r="A76" s="16"/>
      <c r="B76" s="16"/>
      <c r="C76" s="15"/>
      <c r="D76" s="334" t="s">
        <v>1069</v>
      </c>
      <c r="E76" s="232" t="s">
        <v>1068</v>
      </c>
      <c r="F76" s="222"/>
      <c r="G76" s="321" t="s">
        <v>138</v>
      </c>
      <c r="H76" s="335">
        <f>SUM(H77:H78)</f>
        <v>14492.1</v>
      </c>
      <c r="I76" s="335">
        <f t="shared" ref="I76:M76" si="43">SUM(I77:I78)</f>
        <v>13231.3</v>
      </c>
      <c r="J76" s="335">
        <f t="shared" si="43"/>
        <v>16360</v>
      </c>
      <c r="K76" s="335">
        <f t="shared" si="43"/>
        <v>11647</v>
      </c>
      <c r="L76" s="335">
        <f t="shared" si="43"/>
        <v>12112.9</v>
      </c>
      <c r="M76" s="335">
        <f t="shared" si="43"/>
        <v>12597.4</v>
      </c>
    </row>
    <row r="77" spans="1:13" ht="75" x14ac:dyDescent="0.25">
      <c r="A77" s="10"/>
      <c r="B77" s="10"/>
      <c r="C77" s="11"/>
      <c r="D77" s="328" t="s">
        <v>698</v>
      </c>
      <c r="E77" s="235" t="s">
        <v>701</v>
      </c>
      <c r="F77" s="224" t="s">
        <v>732</v>
      </c>
      <c r="G77" s="321" t="s">
        <v>176</v>
      </c>
      <c r="H77" s="326">
        <v>9901.2000000000007</v>
      </c>
      <c r="I77" s="326">
        <v>8660.1</v>
      </c>
      <c r="J77" s="327">
        <v>11090.3</v>
      </c>
      <c r="K77" s="327">
        <v>10660</v>
      </c>
      <c r="L77" s="337">
        <v>11086.4</v>
      </c>
      <c r="M77" s="337">
        <v>11529.9</v>
      </c>
    </row>
    <row r="78" spans="1:13" ht="84" customHeight="1" x14ac:dyDescent="0.25">
      <c r="A78" s="10"/>
      <c r="B78" s="10"/>
      <c r="C78" s="11"/>
      <c r="D78" s="328" t="s">
        <v>699</v>
      </c>
      <c r="E78" s="235" t="s">
        <v>701</v>
      </c>
      <c r="F78" s="224" t="s">
        <v>729</v>
      </c>
      <c r="G78" s="321" t="s">
        <v>177</v>
      </c>
      <c r="H78" s="326">
        <v>4590.8999999999996</v>
      </c>
      <c r="I78" s="326">
        <v>4571.2</v>
      </c>
      <c r="J78" s="326">
        <v>5269.7</v>
      </c>
      <c r="K78" s="327">
        <v>987</v>
      </c>
      <c r="L78" s="337">
        <v>1026.5</v>
      </c>
      <c r="M78" s="337">
        <v>1067.5</v>
      </c>
    </row>
    <row r="79" spans="1:13" s="17" customFormat="1" x14ac:dyDescent="0.25">
      <c r="A79" s="16"/>
      <c r="B79" s="16"/>
      <c r="C79" s="15"/>
      <c r="D79" s="334" t="s">
        <v>156</v>
      </c>
      <c r="E79" s="232" t="s">
        <v>155</v>
      </c>
      <c r="F79" s="222"/>
      <c r="G79" s="321" t="s">
        <v>178</v>
      </c>
      <c r="H79" s="335">
        <f t="shared" ref="H79:M79" si="44">H80+H85</f>
        <v>3272.2</v>
      </c>
      <c r="I79" s="335">
        <f t="shared" si="44"/>
        <v>3804</v>
      </c>
      <c r="J79" s="335">
        <f t="shared" si="44"/>
        <v>4011.6</v>
      </c>
      <c r="K79" s="338">
        <f t="shared" si="44"/>
        <v>1505.2</v>
      </c>
      <c r="L79" s="338">
        <f t="shared" si="44"/>
        <v>1565.4</v>
      </c>
      <c r="M79" s="338">
        <f t="shared" si="44"/>
        <v>1628</v>
      </c>
    </row>
    <row r="80" spans="1:13" s="8" customFormat="1" ht="45" x14ac:dyDescent="0.25">
      <c r="A80" s="13"/>
      <c r="B80" s="13"/>
      <c r="C80" s="12"/>
      <c r="D80" s="334" t="s">
        <v>714</v>
      </c>
      <c r="E80" s="232" t="s">
        <v>560</v>
      </c>
      <c r="F80" s="222"/>
      <c r="G80" s="321" t="s">
        <v>179</v>
      </c>
      <c r="H80" s="335">
        <f t="shared" ref="H80:M80" si="45">SUM(H81:H84)</f>
        <v>571.40000000000009</v>
      </c>
      <c r="I80" s="335">
        <f t="shared" si="45"/>
        <v>738.7</v>
      </c>
      <c r="J80" s="335">
        <f t="shared" si="45"/>
        <v>850.5</v>
      </c>
      <c r="K80" s="335">
        <f t="shared" si="45"/>
        <v>897.7</v>
      </c>
      <c r="L80" s="335">
        <f t="shared" si="45"/>
        <v>933.6</v>
      </c>
      <c r="M80" s="335">
        <f t="shared" si="45"/>
        <v>970.9</v>
      </c>
    </row>
    <row r="81" spans="1:14" s="8" customFormat="1" ht="90" x14ac:dyDescent="0.25">
      <c r="A81" s="13"/>
      <c r="B81" s="13"/>
      <c r="C81" s="12"/>
      <c r="D81" s="328" t="s">
        <v>718</v>
      </c>
      <c r="E81" s="235" t="s">
        <v>703</v>
      </c>
      <c r="F81" s="224" t="s">
        <v>829</v>
      </c>
      <c r="G81" s="321" t="s">
        <v>180</v>
      </c>
      <c r="H81" s="336">
        <v>537.20000000000005</v>
      </c>
      <c r="I81" s="336">
        <v>507.2</v>
      </c>
      <c r="J81" s="337">
        <v>619</v>
      </c>
      <c r="K81" s="337">
        <v>897.7</v>
      </c>
      <c r="L81" s="337">
        <v>933.6</v>
      </c>
      <c r="M81" s="337">
        <v>970.9</v>
      </c>
    </row>
    <row r="82" spans="1:14" s="8" customFormat="1" ht="90" x14ac:dyDescent="0.25">
      <c r="A82" s="13"/>
      <c r="B82" s="13"/>
      <c r="C82" s="12"/>
      <c r="D82" s="328" t="s">
        <v>716</v>
      </c>
      <c r="E82" s="235" t="s">
        <v>703</v>
      </c>
      <c r="F82" s="224" t="s">
        <v>729</v>
      </c>
      <c r="G82" s="321" t="s">
        <v>181</v>
      </c>
      <c r="H82" s="336">
        <v>0</v>
      </c>
      <c r="I82" s="336">
        <v>176.8</v>
      </c>
      <c r="J82" s="337">
        <v>176.8</v>
      </c>
      <c r="K82" s="337">
        <v>0</v>
      </c>
      <c r="L82" s="337">
        <v>0</v>
      </c>
      <c r="M82" s="337">
        <v>0</v>
      </c>
    </row>
    <row r="83" spans="1:14" ht="62.25" customHeight="1" x14ac:dyDescent="0.25">
      <c r="A83" s="10"/>
      <c r="B83" s="10"/>
      <c r="C83" s="11"/>
      <c r="D83" s="328" t="s">
        <v>1042</v>
      </c>
      <c r="E83" s="235" t="s">
        <v>703</v>
      </c>
      <c r="F83" s="224" t="s">
        <v>732</v>
      </c>
      <c r="G83" s="321" t="s">
        <v>182</v>
      </c>
      <c r="H83" s="336">
        <v>34.200000000000003</v>
      </c>
      <c r="I83" s="336">
        <v>34.200000000000003</v>
      </c>
      <c r="J83" s="337">
        <v>34.200000000000003</v>
      </c>
      <c r="K83" s="337">
        <v>0</v>
      </c>
      <c r="L83" s="337">
        <v>0</v>
      </c>
      <c r="M83" s="337">
        <v>0</v>
      </c>
    </row>
    <row r="84" spans="1:14" ht="60" x14ac:dyDescent="0.25">
      <c r="A84" s="10"/>
      <c r="B84" s="10"/>
      <c r="C84" s="11"/>
      <c r="D84" s="328" t="s">
        <v>717</v>
      </c>
      <c r="E84" s="235" t="s">
        <v>703</v>
      </c>
      <c r="F84" s="224" t="s">
        <v>770</v>
      </c>
      <c r="G84" s="321" t="s">
        <v>183</v>
      </c>
      <c r="H84" s="336">
        <v>0</v>
      </c>
      <c r="I84" s="336">
        <v>20.5</v>
      </c>
      <c r="J84" s="337">
        <v>20.5</v>
      </c>
      <c r="K84" s="337">
        <v>0</v>
      </c>
      <c r="L84" s="337">
        <v>0</v>
      </c>
      <c r="M84" s="337">
        <v>0</v>
      </c>
    </row>
    <row r="85" spans="1:14" s="8" customFormat="1" ht="15.75" x14ac:dyDescent="0.25">
      <c r="A85" s="13"/>
      <c r="B85" s="13"/>
      <c r="C85" s="12"/>
      <c r="D85" s="334" t="s">
        <v>713</v>
      </c>
      <c r="E85" s="232" t="s">
        <v>871</v>
      </c>
      <c r="F85" s="222"/>
      <c r="G85" s="321" t="s">
        <v>184</v>
      </c>
      <c r="H85" s="335">
        <f>SUM(H86:H90)</f>
        <v>2700.7999999999997</v>
      </c>
      <c r="I85" s="335">
        <f t="shared" ref="I85:M85" si="46">SUM(I86:I90)</f>
        <v>3065.2999999999997</v>
      </c>
      <c r="J85" s="335">
        <f t="shared" si="46"/>
        <v>3161.1</v>
      </c>
      <c r="K85" s="335">
        <f t="shared" si="46"/>
        <v>607.5</v>
      </c>
      <c r="L85" s="335">
        <f t="shared" si="46"/>
        <v>631.79999999999995</v>
      </c>
      <c r="M85" s="335">
        <f t="shared" si="46"/>
        <v>657.1</v>
      </c>
      <c r="N85" s="292"/>
    </row>
    <row r="86" spans="1:14" ht="96" customHeight="1" x14ac:dyDescent="0.25">
      <c r="A86" s="10"/>
      <c r="B86" s="10"/>
      <c r="C86" s="11"/>
      <c r="D86" s="328" t="s">
        <v>825</v>
      </c>
      <c r="E86" s="235" t="s">
        <v>705</v>
      </c>
      <c r="F86" s="224" t="s">
        <v>829</v>
      </c>
      <c r="G86" s="321" t="s">
        <v>185</v>
      </c>
      <c r="H86" s="336">
        <v>0</v>
      </c>
      <c r="I86" s="336">
        <v>2.9</v>
      </c>
      <c r="J86" s="337">
        <v>2.9</v>
      </c>
      <c r="K86" s="337">
        <v>0</v>
      </c>
      <c r="L86" s="337">
        <v>0</v>
      </c>
      <c r="M86" s="337">
        <v>0</v>
      </c>
    </row>
    <row r="87" spans="1:14" ht="69" customHeight="1" x14ac:dyDescent="0.25">
      <c r="A87" s="10"/>
      <c r="B87" s="10"/>
      <c r="C87" s="11"/>
      <c r="D87" s="328" t="s">
        <v>826</v>
      </c>
      <c r="E87" s="235" t="s">
        <v>705</v>
      </c>
      <c r="F87" s="224" t="s">
        <v>732</v>
      </c>
      <c r="G87" s="321" t="s">
        <v>186</v>
      </c>
      <c r="H87" s="336">
        <v>366.1</v>
      </c>
      <c r="I87" s="336">
        <v>415</v>
      </c>
      <c r="J87" s="337">
        <v>486.5</v>
      </c>
      <c r="K87" s="337">
        <v>408.4</v>
      </c>
      <c r="L87" s="337">
        <v>424.7</v>
      </c>
      <c r="M87" s="337">
        <v>441.7</v>
      </c>
    </row>
    <row r="88" spans="1:14" ht="84.75" customHeight="1" x14ac:dyDescent="0.25">
      <c r="A88" s="10"/>
      <c r="B88" s="10"/>
      <c r="C88" s="11"/>
      <c r="D88" s="328" t="s">
        <v>704</v>
      </c>
      <c r="E88" s="235" t="s">
        <v>705</v>
      </c>
      <c r="F88" s="224" t="s">
        <v>1043</v>
      </c>
      <c r="G88" s="321" t="s">
        <v>187</v>
      </c>
      <c r="H88" s="336">
        <v>69.2</v>
      </c>
      <c r="I88" s="336">
        <v>33</v>
      </c>
      <c r="J88" s="337">
        <v>46.4</v>
      </c>
      <c r="K88" s="337">
        <v>43.5</v>
      </c>
      <c r="L88" s="369">
        <v>45.24</v>
      </c>
      <c r="M88" s="369">
        <v>47.05</v>
      </c>
    </row>
    <row r="89" spans="1:14" ht="60" x14ac:dyDescent="0.25">
      <c r="A89" s="10"/>
      <c r="B89" s="10"/>
      <c r="C89" s="11"/>
      <c r="D89" s="328" t="s">
        <v>828</v>
      </c>
      <c r="E89" s="235" t="s">
        <v>705</v>
      </c>
      <c r="F89" s="224" t="s">
        <v>995</v>
      </c>
      <c r="G89" s="321" t="s">
        <v>188</v>
      </c>
      <c r="H89" s="336">
        <v>55.8</v>
      </c>
      <c r="I89" s="336">
        <v>381.2</v>
      </c>
      <c r="J89" s="337">
        <v>392.1</v>
      </c>
      <c r="K89" s="337">
        <v>155.6</v>
      </c>
      <c r="L89" s="369">
        <v>161.86000000000001</v>
      </c>
      <c r="M89" s="369">
        <v>168.35</v>
      </c>
      <c r="N89" s="29"/>
    </row>
    <row r="90" spans="1:14" ht="75" customHeight="1" x14ac:dyDescent="0.25">
      <c r="A90" s="10"/>
      <c r="B90" s="10"/>
      <c r="C90" s="11"/>
      <c r="D90" s="328" t="s">
        <v>827</v>
      </c>
      <c r="E90" s="235" t="s">
        <v>705</v>
      </c>
      <c r="F90" s="224" t="s">
        <v>1102</v>
      </c>
      <c r="G90" s="321" t="s">
        <v>189</v>
      </c>
      <c r="H90" s="336">
        <v>2209.6999999999998</v>
      </c>
      <c r="I90" s="336">
        <v>2233.1999999999998</v>
      </c>
      <c r="J90" s="337">
        <v>2233.1999999999998</v>
      </c>
      <c r="K90" s="337">
        <v>0</v>
      </c>
      <c r="L90" s="337">
        <v>0</v>
      </c>
      <c r="M90" s="337">
        <v>0</v>
      </c>
      <c r="N90" s="29"/>
    </row>
    <row r="91" spans="1:14" s="8" customFormat="1" ht="43.5" x14ac:dyDescent="0.25">
      <c r="A91" s="13"/>
      <c r="B91" s="13"/>
      <c r="C91" s="12" t="s">
        <v>157</v>
      </c>
      <c r="D91" s="331" t="s">
        <v>159</v>
      </c>
      <c r="E91" s="229" t="s">
        <v>158</v>
      </c>
      <c r="F91" s="227"/>
      <c r="G91" s="321" t="s">
        <v>190</v>
      </c>
      <c r="H91" s="332">
        <f t="shared" ref="H91:M91" si="47">H96+H104+H92</f>
        <v>3487.3</v>
      </c>
      <c r="I91" s="332">
        <f t="shared" si="47"/>
        <v>3761.5000000000005</v>
      </c>
      <c r="J91" s="332">
        <f t="shared" si="47"/>
        <v>3912.9</v>
      </c>
      <c r="K91" s="332">
        <f t="shared" si="47"/>
        <v>2800</v>
      </c>
      <c r="L91" s="332">
        <f t="shared" si="47"/>
        <v>2520</v>
      </c>
      <c r="M91" s="332">
        <f t="shared" si="47"/>
        <v>2268</v>
      </c>
    </row>
    <row r="92" spans="1:14" s="8" customFormat="1" ht="90" x14ac:dyDescent="0.25">
      <c r="A92" s="13"/>
      <c r="B92" s="13"/>
      <c r="C92" s="232"/>
      <c r="D92" s="334" t="s">
        <v>1045</v>
      </c>
      <c r="E92" s="232" t="s">
        <v>1044</v>
      </c>
      <c r="F92" s="227"/>
      <c r="G92" s="321" t="s">
        <v>191</v>
      </c>
      <c r="H92" s="335">
        <f>SUM(H93)</f>
        <v>21.7</v>
      </c>
      <c r="I92" s="335">
        <f t="shared" ref="I92:M92" si="48">SUM(I93)</f>
        <v>64.900000000000006</v>
      </c>
      <c r="J92" s="335">
        <f t="shared" si="48"/>
        <v>64.900000000000006</v>
      </c>
      <c r="K92" s="335">
        <f t="shared" si="48"/>
        <v>0</v>
      </c>
      <c r="L92" s="335">
        <f t="shared" si="48"/>
        <v>0</v>
      </c>
      <c r="M92" s="335">
        <f t="shared" si="48"/>
        <v>0</v>
      </c>
    </row>
    <row r="93" spans="1:14" s="8" customFormat="1" ht="115.5" customHeight="1" x14ac:dyDescent="0.25">
      <c r="A93" s="13"/>
      <c r="B93" s="13"/>
      <c r="C93" s="12"/>
      <c r="D93" s="334" t="s">
        <v>1047</v>
      </c>
      <c r="E93" s="232" t="s">
        <v>1046</v>
      </c>
      <c r="F93" s="222"/>
      <c r="G93" s="321" t="s">
        <v>192</v>
      </c>
      <c r="H93" s="335">
        <f>SUM(H94:H95)</f>
        <v>21.7</v>
      </c>
      <c r="I93" s="335">
        <f t="shared" ref="I93:M93" si="49">SUM(I94:I95)</f>
        <v>64.900000000000006</v>
      </c>
      <c r="J93" s="335">
        <f t="shared" si="49"/>
        <v>64.900000000000006</v>
      </c>
      <c r="K93" s="335">
        <f t="shared" si="49"/>
        <v>0</v>
      </c>
      <c r="L93" s="335">
        <f t="shared" si="49"/>
        <v>0</v>
      </c>
      <c r="M93" s="335">
        <f t="shared" si="49"/>
        <v>0</v>
      </c>
    </row>
    <row r="94" spans="1:14" s="8" customFormat="1" ht="96" customHeight="1" x14ac:dyDescent="0.25">
      <c r="A94" s="13"/>
      <c r="B94" s="13"/>
      <c r="C94" s="12"/>
      <c r="D94" s="328" t="s">
        <v>1070</v>
      </c>
      <c r="E94" s="235" t="s">
        <v>1048</v>
      </c>
      <c r="F94" s="224" t="s">
        <v>732</v>
      </c>
      <c r="G94" s="321" t="s">
        <v>193</v>
      </c>
      <c r="H94" s="336">
        <v>21.7</v>
      </c>
      <c r="I94" s="336">
        <v>39.700000000000003</v>
      </c>
      <c r="J94" s="337">
        <v>39.700000000000003</v>
      </c>
      <c r="K94" s="337">
        <v>0</v>
      </c>
      <c r="L94" s="337">
        <v>0</v>
      </c>
      <c r="M94" s="337">
        <v>0</v>
      </c>
    </row>
    <row r="95" spans="1:14" s="8" customFormat="1" ht="96" customHeight="1" x14ac:dyDescent="0.25">
      <c r="A95" s="13"/>
      <c r="B95" s="13"/>
      <c r="C95" s="12"/>
      <c r="D95" s="328" t="s">
        <v>1197</v>
      </c>
      <c r="E95" s="235" t="s">
        <v>1048</v>
      </c>
      <c r="F95" s="274" t="s">
        <v>770</v>
      </c>
      <c r="G95" s="321" t="s">
        <v>194</v>
      </c>
      <c r="H95" s="336">
        <v>0</v>
      </c>
      <c r="I95" s="336">
        <v>25.2</v>
      </c>
      <c r="J95" s="337">
        <v>25.2</v>
      </c>
      <c r="K95" s="337">
        <v>0</v>
      </c>
      <c r="L95" s="337">
        <v>0</v>
      </c>
      <c r="M95" s="337">
        <v>0</v>
      </c>
    </row>
    <row r="96" spans="1:14" s="17" customFormat="1" ht="31.5" customHeight="1" x14ac:dyDescent="0.25">
      <c r="A96" s="16"/>
      <c r="B96" s="16"/>
      <c r="C96" s="15"/>
      <c r="D96" s="334" t="s">
        <v>160</v>
      </c>
      <c r="E96" s="232" t="s">
        <v>161</v>
      </c>
      <c r="F96" s="222"/>
      <c r="G96" s="321" t="s">
        <v>195</v>
      </c>
      <c r="H96" s="335">
        <f>SUM(H97+H99)</f>
        <v>2355.4</v>
      </c>
      <c r="I96" s="335">
        <f t="shared" ref="I96:M96" si="50">SUM(I97+I99)</f>
        <v>2586.4</v>
      </c>
      <c r="J96" s="335">
        <f t="shared" si="50"/>
        <v>2737.8</v>
      </c>
      <c r="K96" s="335">
        <f t="shared" si="50"/>
        <v>2200</v>
      </c>
      <c r="L96" s="335">
        <f t="shared" si="50"/>
        <v>1980</v>
      </c>
      <c r="M96" s="335">
        <f t="shared" si="50"/>
        <v>1782</v>
      </c>
    </row>
    <row r="97" spans="1:17" s="17" customFormat="1" ht="42" customHeight="1" x14ac:dyDescent="0.25">
      <c r="A97" s="16"/>
      <c r="B97" s="16"/>
      <c r="C97" s="15"/>
      <c r="D97" s="334" t="s">
        <v>715</v>
      </c>
      <c r="E97" s="232" t="s">
        <v>562</v>
      </c>
      <c r="F97" s="222"/>
      <c r="G97" s="321" t="s">
        <v>196</v>
      </c>
      <c r="H97" s="335">
        <f>SUM(H98)</f>
        <v>1500</v>
      </c>
      <c r="I97" s="335">
        <f t="shared" ref="I97:M97" si="51">SUM(I98)</f>
        <v>1642.6</v>
      </c>
      <c r="J97" s="335">
        <f t="shared" si="51"/>
        <v>1794</v>
      </c>
      <c r="K97" s="335">
        <f t="shared" si="51"/>
        <v>1500</v>
      </c>
      <c r="L97" s="335">
        <f t="shared" si="51"/>
        <v>1350</v>
      </c>
      <c r="M97" s="335">
        <f t="shared" si="51"/>
        <v>1215</v>
      </c>
    </row>
    <row r="98" spans="1:17" ht="75" x14ac:dyDescent="0.25">
      <c r="A98" s="10"/>
      <c r="B98" s="10"/>
      <c r="C98" s="11"/>
      <c r="D98" s="328" t="s">
        <v>707</v>
      </c>
      <c r="E98" s="235" t="s">
        <v>706</v>
      </c>
      <c r="F98" s="224" t="s">
        <v>710</v>
      </c>
      <c r="G98" s="321" t="s">
        <v>197</v>
      </c>
      <c r="H98" s="326">
        <v>1500</v>
      </c>
      <c r="I98" s="326">
        <v>1642.6</v>
      </c>
      <c r="J98" s="327">
        <v>1794</v>
      </c>
      <c r="K98" s="327">
        <v>1500</v>
      </c>
      <c r="L98" s="327">
        <v>1350</v>
      </c>
      <c r="M98" s="327">
        <v>1215</v>
      </c>
    </row>
    <row r="99" spans="1:17" ht="75" x14ac:dyDescent="0.25">
      <c r="A99" s="10"/>
      <c r="B99" s="10"/>
      <c r="C99" s="11"/>
      <c r="D99" s="334" t="s">
        <v>1071</v>
      </c>
      <c r="E99" s="232" t="s">
        <v>1074</v>
      </c>
      <c r="F99" s="224"/>
      <c r="G99" s="321" t="s">
        <v>198</v>
      </c>
      <c r="H99" s="324">
        <f>SUM(H100+H102)</f>
        <v>855.40000000000009</v>
      </c>
      <c r="I99" s="324">
        <f t="shared" ref="I99:M99" si="52">SUM(I100+I102)</f>
        <v>943.80000000000007</v>
      </c>
      <c r="J99" s="324">
        <f t="shared" si="52"/>
        <v>943.80000000000007</v>
      </c>
      <c r="K99" s="324">
        <f t="shared" si="52"/>
        <v>700</v>
      </c>
      <c r="L99" s="324">
        <f t="shared" si="52"/>
        <v>630</v>
      </c>
      <c r="M99" s="324">
        <f t="shared" si="52"/>
        <v>567</v>
      </c>
    </row>
    <row r="100" spans="1:17" ht="75" x14ac:dyDescent="0.25">
      <c r="A100" s="10"/>
      <c r="B100" s="10"/>
      <c r="C100" s="11"/>
      <c r="D100" s="334" t="s">
        <v>1072</v>
      </c>
      <c r="E100" s="232" t="s">
        <v>564</v>
      </c>
      <c r="F100" s="224"/>
      <c r="G100" s="321" t="s">
        <v>199</v>
      </c>
      <c r="H100" s="324">
        <f>SUM(H101)</f>
        <v>809.7</v>
      </c>
      <c r="I100" s="324">
        <f t="shared" ref="I100:M100" si="53">SUM(I101)</f>
        <v>898.1</v>
      </c>
      <c r="J100" s="324">
        <f t="shared" si="53"/>
        <v>898.1</v>
      </c>
      <c r="K100" s="324">
        <f t="shared" si="53"/>
        <v>667</v>
      </c>
      <c r="L100" s="324">
        <f t="shared" si="53"/>
        <v>600</v>
      </c>
      <c r="M100" s="324">
        <f t="shared" si="53"/>
        <v>540</v>
      </c>
    </row>
    <row r="101" spans="1:17" ht="90" x14ac:dyDescent="0.25">
      <c r="A101" s="10"/>
      <c r="B101" s="10"/>
      <c r="C101" s="11"/>
      <c r="D101" s="328" t="s">
        <v>709</v>
      </c>
      <c r="E101" s="235" t="s">
        <v>708</v>
      </c>
      <c r="F101" s="224" t="s">
        <v>710</v>
      </c>
      <c r="G101" s="321" t="s">
        <v>200</v>
      </c>
      <c r="H101" s="326">
        <v>809.7</v>
      </c>
      <c r="I101" s="326">
        <v>898.1</v>
      </c>
      <c r="J101" s="327">
        <v>898.1</v>
      </c>
      <c r="K101" s="327">
        <v>667</v>
      </c>
      <c r="L101" s="327">
        <v>600</v>
      </c>
      <c r="M101" s="327">
        <v>540</v>
      </c>
    </row>
    <row r="102" spans="1:17" ht="75" x14ac:dyDescent="0.25">
      <c r="A102" s="10"/>
      <c r="B102" s="10"/>
      <c r="C102" s="11"/>
      <c r="D102" s="334" t="s">
        <v>1073</v>
      </c>
      <c r="E102" s="15" t="s">
        <v>1085</v>
      </c>
      <c r="F102" s="224"/>
      <c r="G102" s="321" t="s">
        <v>201</v>
      </c>
      <c r="H102" s="324">
        <f>SUM(H103)</f>
        <v>45.7</v>
      </c>
      <c r="I102" s="324">
        <f t="shared" ref="I102:M102" si="54">SUM(I103)</f>
        <v>45.7</v>
      </c>
      <c r="J102" s="324">
        <f t="shared" si="54"/>
        <v>45.7</v>
      </c>
      <c r="K102" s="324">
        <f t="shared" si="54"/>
        <v>33</v>
      </c>
      <c r="L102" s="324">
        <f t="shared" si="54"/>
        <v>30</v>
      </c>
      <c r="M102" s="324">
        <f t="shared" si="54"/>
        <v>27</v>
      </c>
    </row>
    <row r="103" spans="1:17" ht="75" x14ac:dyDescent="0.25">
      <c r="A103" s="10"/>
      <c r="B103" s="10"/>
      <c r="C103" s="11"/>
      <c r="D103" s="328" t="s">
        <v>845</v>
      </c>
      <c r="E103" s="235" t="s">
        <v>846</v>
      </c>
      <c r="F103" s="224" t="s">
        <v>993</v>
      </c>
      <c r="G103" s="321" t="s">
        <v>202</v>
      </c>
      <c r="H103" s="326">
        <v>45.7</v>
      </c>
      <c r="I103" s="326">
        <v>45.7</v>
      </c>
      <c r="J103" s="327">
        <v>45.7</v>
      </c>
      <c r="K103" s="327">
        <v>33</v>
      </c>
      <c r="L103" s="327">
        <v>30</v>
      </c>
      <c r="M103" s="327">
        <v>27</v>
      </c>
    </row>
    <row r="104" spans="1:17" s="17" customFormat="1" ht="30" x14ac:dyDescent="0.25">
      <c r="A104" s="16"/>
      <c r="B104" s="16"/>
      <c r="C104" s="15"/>
      <c r="D104" s="334" t="s">
        <v>1086</v>
      </c>
      <c r="E104" s="232" t="s">
        <v>332</v>
      </c>
      <c r="F104" s="222"/>
      <c r="G104" s="321" t="s">
        <v>203</v>
      </c>
      <c r="H104" s="324">
        <f>H105</f>
        <v>1110.2</v>
      </c>
      <c r="I104" s="324">
        <f t="shared" ref="I104:M104" si="55">I105</f>
        <v>1110.2</v>
      </c>
      <c r="J104" s="325">
        <f t="shared" si="55"/>
        <v>1110.2</v>
      </c>
      <c r="K104" s="325">
        <f t="shared" si="55"/>
        <v>600</v>
      </c>
      <c r="L104" s="325">
        <f t="shared" si="55"/>
        <v>540</v>
      </c>
      <c r="M104" s="325">
        <f t="shared" si="55"/>
        <v>486</v>
      </c>
      <c r="Q104" s="375"/>
    </row>
    <row r="105" spans="1:17" ht="75" x14ac:dyDescent="0.25">
      <c r="A105" s="10"/>
      <c r="B105" s="10"/>
      <c r="C105" s="11"/>
      <c r="D105" s="328" t="s">
        <v>711</v>
      </c>
      <c r="E105" s="235" t="s">
        <v>712</v>
      </c>
      <c r="F105" s="224" t="s">
        <v>710</v>
      </c>
      <c r="G105" s="321" t="s">
        <v>204</v>
      </c>
      <c r="H105" s="326">
        <v>1110.2</v>
      </c>
      <c r="I105" s="326">
        <v>1110.2</v>
      </c>
      <c r="J105" s="327">
        <v>1110.2</v>
      </c>
      <c r="K105" s="327">
        <v>600</v>
      </c>
      <c r="L105" s="327">
        <v>540</v>
      </c>
      <c r="M105" s="327">
        <v>486</v>
      </c>
    </row>
    <row r="106" spans="1:17" s="8" customFormat="1" ht="29.25" x14ac:dyDescent="0.25">
      <c r="A106" s="13"/>
      <c r="B106" s="13"/>
      <c r="C106" s="12" t="s">
        <v>165</v>
      </c>
      <c r="D106" s="331" t="s">
        <v>167</v>
      </c>
      <c r="E106" s="229" t="s">
        <v>166</v>
      </c>
      <c r="F106" s="227"/>
      <c r="G106" s="321" t="s">
        <v>205</v>
      </c>
      <c r="H106" s="332">
        <f>SUM(H107+H137+H134)</f>
        <v>553.20000000000005</v>
      </c>
      <c r="I106" s="332">
        <f t="shared" ref="I106:M106" si="56">SUM(I107+I137+I134)</f>
        <v>600.99999999999989</v>
      </c>
      <c r="J106" s="332">
        <f t="shared" si="56"/>
        <v>731.79999999999984</v>
      </c>
      <c r="K106" s="332">
        <f t="shared" si="56"/>
        <v>600</v>
      </c>
      <c r="L106" s="332">
        <f t="shared" si="56"/>
        <v>624</v>
      </c>
      <c r="M106" s="332">
        <f t="shared" si="56"/>
        <v>649</v>
      </c>
      <c r="Q106" s="133"/>
    </row>
    <row r="107" spans="1:17" s="8" customFormat="1" ht="45" x14ac:dyDescent="0.25">
      <c r="A107" s="13"/>
      <c r="B107" s="13"/>
      <c r="C107" s="12"/>
      <c r="D107" s="334" t="s">
        <v>1087</v>
      </c>
      <c r="E107" s="15" t="s">
        <v>1088</v>
      </c>
      <c r="F107" s="222"/>
      <c r="G107" s="321" t="s">
        <v>206</v>
      </c>
      <c r="H107" s="335">
        <f>SUM(H108+H111+H114+H116+H118+H122+H124+H126+H128+H131+H120)</f>
        <v>480.00000000000006</v>
      </c>
      <c r="I107" s="335">
        <f t="shared" ref="I107:M107" si="57">SUM(I108+I111+I114+I116+I118+I122+I124+I126+I128+I131+I120)</f>
        <v>434.79999999999995</v>
      </c>
      <c r="J107" s="335">
        <f t="shared" si="57"/>
        <v>565.59999999999991</v>
      </c>
      <c r="K107" s="335">
        <f t="shared" si="57"/>
        <v>588</v>
      </c>
      <c r="L107" s="335">
        <f t="shared" si="57"/>
        <v>611.52</v>
      </c>
      <c r="M107" s="335">
        <f t="shared" si="57"/>
        <v>636</v>
      </c>
      <c r="Q107" s="133"/>
    </row>
    <row r="108" spans="1:17" s="8" customFormat="1" ht="63" customHeight="1" x14ac:dyDescent="0.25">
      <c r="A108" s="13"/>
      <c r="B108" s="13"/>
      <c r="C108" s="12"/>
      <c r="D108" s="334" t="s">
        <v>962</v>
      </c>
      <c r="E108" s="232" t="s">
        <v>961</v>
      </c>
      <c r="F108" s="222"/>
      <c r="G108" s="321" t="s">
        <v>207</v>
      </c>
      <c r="H108" s="335">
        <f>H110+H109</f>
        <v>3</v>
      </c>
      <c r="I108" s="335">
        <f>I110+I109</f>
        <v>10.7</v>
      </c>
      <c r="J108" s="338">
        <f t="shared" ref="J108:M108" si="58">J110+J109</f>
        <v>13.399999999999999</v>
      </c>
      <c r="K108" s="338">
        <f t="shared" si="58"/>
        <v>4.2</v>
      </c>
      <c r="L108" s="338">
        <f t="shared" si="58"/>
        <v>4.37</v>
      </c>
      <c r="M108" s="338">
        <f t="shared" si="58"/>
        <v>4.55</v>
      </c>
      <c r="N108" s="203"/>
    </row>
    <row r="109" spans="1:17" ht="90" x14ac:dyDescent="0.25">
      <c r="A109" s="10"/>
      <c r="B109" s="10"/>
      <c r="C109" s="11"/>
      <c r="D109" s="328" t="s">
        <v>352</v>
      </c>
      <c r="E109" s="235" t="s">
        <v>519</v>
      </c>
      <c r="F109" s="238" t="s">
        <v>353</v>
      </c>
      <c r="G109" s="321" t="s">
        <v>208</v>
      </c>
      <c r="H109" s="336">
        <v>3</v>
      </c>
      <c r="I109" s="336">
        <v>5.5</v>
      </c>
      <c r="J109" s="337">
        <v>8.1999999999999993</v>
      </c>
      <c r="K109" s="337">
        <v>1.2</v>
      </c>
      <c r="L109" s="369">
        <v>1.25</v>
      </c>
      <c r="M109" s="337">
        <v>1.3</v>
      </c>
    </row>
    <row r="110" spans="1:17" ht="90" x14ac:dyDescent="0.25">
      <c r="A110" s="10"/>
      <c r="B110" s="10"/>
      <c r="C110" s="11"/>
      <c r="D110" s="328" t="s">
        <v>648</v>
      </c>
      <c r="E110" s="235" t="s">
        <v>519</v>
      </c>
      <c r="F110" s="224" t="s">
        <v>1089</v>
      </c>
      <c r="G110" s="321" t="s">
        <v>209</v>
      </c>
      <c r="H110" s="336">
        <v>0</v>
      </c>
      <c r="I110" s="336">
        <v>5.2</v>
      </c>
      <c r="J110" s="337">
        <v>5.2</v>
      </c>
      <c r="K110" s="337">
        <v>3</v>
      </c>
      <c r="L110" s="370">
        <v>3.12</v>
      </c>
      <c r="M110" s="370">
        <v>3.25</v>
      </c>
    </row>
    <row r="111" spans="1:17" s="8" customFormat="1" ht="90" x14ac:dyDescent="0.25">
      <c r="A111" s="13"/>
      <c r="B111" s="13"/>
      <c r="C111" s="12"/>
      <c r="D111" s="334" t="s">
        <v>963</v>
      </c>
      <c r="E111" s="232" t="s">
        <v>964</v>
      </c>
      <c r="F111" s="222"/>
      <c r="G111" s="321" t="s">
        <v>210</v>
      </c>
      <c r="H111" s="335">
        <f>H112+H113</f>
        <v>38.200000000000003</v>
      </c>
      <c r="I111" s="335">
        <f t="shared" ref="I111:M111" si="59">I112+I113</f>
        <v>31.4</v>
      </c>
      <c r="J111" s="338">
        <f t="shared" si="59"/>
        <v>41.7</v>
      </c>
      <c r="K111" s="338">
        <f t="shared" si="59"/>
        <v>60.7</v>
      </c>
      <c r="L111" s="338">
        <f t="shared" si="59"/>
        <v>63.03</v>
      </c>
      <c r="M111" s="338">
        <f t="shared" si="59"/>
        <v>65.510000000000005</v>
      </c>
    </row>
    <row r="112" spans="1:17" ht="105" x14ac:dyDescent="0.25">
      <c r="A112" s="10"/>
      <c r="B112" s="10"/>
      <c r="C112" s="11"/>
      <c r="D112" s="328" t="s">
        <v>515</v>
      </c>
      <c r="E112" s="235" t="s">
        <v>719</v>
      </c>
      <c r="F112" s="224" t="s">
        <v>353</v>
      </c>
      <c r="G112" s="321" t="s">
        <v>211</v>
      </c>
      <c r="H112" s="336">
        <v>38.200000000000003</v>
      </c>
      <c r="I112" s="336">
        <v>27.9</v>
      </c>
      <c r="J112" s="337">
        <v>38.200000000000003</v>
      </c>
      <c r="K112" s="337">
        <v>60.7</v>
      </c>
      <c r="L112" s="369">
        <v>63.03</v>
      </c>
      <c r="M112" s="369">
        <v>65.510000000000005</v>
      </c>
    </row>
    <row r="113" spans="1:13" ht="105" x14ac:dyDescent="0.25">
      <c r="A113" s="10"/>
      <c r="B113" s="10"/>
      <c r="C113" s="11"/>
      <c r="D113" s="328" t="s">
        <v>516</v>
      </c>
      <c r="E113" s="235" t="s">
        <v>719</v>
      </c>
      <c r="F113" s="224" t="s">
        <v>1089</v>
      </c>
      <c r="G113" s="321" t="s">
        <v>212</v>
      </c>
      <c r="H113" s="336">
        <v>0</v>
      </c>
      <c r="I113" s="336">
        <v>3.5</v>
      </c>
      <c r="J113" s="337">
        <v>3.5</v>
      </c>
      <c r="K113" s="337">
        <v>0</v>
      </c>
      <c r="L113" s="337">
        <v>0</v>
      </c>
      <c r="M113" s="337">
        <v>0</v>
      </c>
    </row>
    <row r="114" spans="1:13" s="8" customFormat="1" ht="75" x14ac:dyDescent="0.25">
      <c r="A114" s="13"/>
      <c r="B114" s="13"/>
      <c r="C114" s="12"/>
      <c r="D114" s="334" t="s">
        <v>965</v>
      </c>
      <c r="E114" s="232" t="s">
        <v>966</v>
      </c>
      <c r="F114" s="222"/>
      <c r="G114" s="321" t="s">
        <v>213</v>
      </c>
      <c r="H114" s="335">
        <f>H115</f>
        <v>14.4</v>
      </c>
      <c r="I114" s="335">
        <f t="shared" ref="I114:M114" si="60">I115</f>
        <v>15.4</v>
      </c>
      <c r="J114" s="338">
        <f t="shared" si="60"/>
        <v>18.899999999999999</v>
      </c>
      <c r="K114" s="338">
        <f t="shared" si="60"/>
        <v>18</v>
      </c>
      <c r="L114" s="338">
        <f t="shared" si="60"/>
        <v>18.72</v>
      </c>
      <c r="M114" s="338">
        <f t="shared" si="60"/>
        <v>19.47</v>
      </c>
    </row>
    <row r="115" spans="1:13" ht="90" x14ac:dyDescent="0.25">
      <c r="A115" s="10"/>
      <c r="B115" s="10"/>
      <c r="C115" s="11"/>
      <c r="D115" s="328" t="s">
        <v>354</v>
      </c>
      <c r="E115" s="235" t="s">
        <v>967</v>
      </c>
      <c r="F115" s="224" t="s">
        <v>353</v>
      </c>
      <c r="G115" s="321" t="s">
        <v>214</v>
      </c>
      <c r="H115" s="336">
        <v>14.4</v>
      </c>
      <c r="I115" s="336">
        <v>15.4</v>
      </c>
      <c r="J115" s="337">
        <v>18.899999999999999</v>
      </c>
      <c r="K115" s="337">
        <v>18</v>
      </c>
      <c r="L115" s="369">
        <v>18.72</v>
      </c>
      <c r="M115" s="369">
        <v>19.47</v>
      </c>
    </row>
    <row r="116" spans="1:13" ht="82.5" customHeight="1" x14ac:dyDescent="0.25">
      <c r="A116" s="10"/>
      <c r="B116" s="10"/>
      <c r="C116" s="11"/>
      <c r="D116" s="334" t="s">
        <v>968</v>
      </c>
      <c r="E116" s="232" t="s">
        <v>969</v>
      </c>
      <c r="F116" s="299"/>
      <c r="G116" s="321" t="s">
        <v>215</v>
      </c>
      <c r="H116" s="335">
        <f>SUM(H117)</f>
        <v>56.4</v>
      </c>
      <c r="I116" s="335">
        <f t="shared" ref="I116:M116" si="61">SUM(I117)</f>
        <v>1</v>
      </c>
      <c r="J116" s="338">
        <f t="shared" si="61"/>
        <v>33.299999999999997</v>
      </c>
      <c r="K116" s="338">
        <f t="shared" si="61"/>
        <v>42</v>
      </c>
      <c r="L116" s="338">
        <f t="shared" si="61"/>
        <v>43.68</v>
      </c>
      <c r="M116" s="338">
        <f t="shared" si="61"/>
        <v>45.43</v>
      </c>
    </row>
    <row r="117" spans="1:13" ht="105" x14ac:dyDescent="0.25">
      <c r="A117" s="10"/>
      <c r="B117" s="10"/>
      <c r="C117" s="11"/>
      <c r="D117" s="328" t="s">
        <v>811</v>
      </c>
      <c r="E117" s="235" t="s">
        <v>970</v>
      </c>
      <c r="F117" s="224" t="s">
        <v>353</v>
      </c>
      <c r="G117" s="321" t="s">
        <v>216</v>
      </c>
      <c r="H117" s="336">
        <v>56.4</v>
      </c>
      <c r="I117" s="336">
        <v>1</v>
      </c>
      <c r="J117" s="337">
        <v>33.299999999999997</v>
      </c>
      <c r="K117" s="337">
        <v>42</v>
      </c>
      <c r="L117" s="369">
        <v>43.68</v>
      </c>
      <c r="M117" s="369">
        <v>45.43</v>
      </c>
    </row>
    <row r="118" spans="1:13" ht="75" x14ac:dyDescent="0.25">
      <c r="A118" s="10"/>
      <c r="B118" s="10"/>
      <c r="C118" s="11"/>
      <c r="D118" s="334" t="s">
        <v>971</v>
      </c>
      <c r="E118" s="232" t="s">
        <v>972</v>
      </c>
      <c r="F118" s="299"/>
      <c r="G118" s="321" t="s">
        <v>217</v>
      </c>
      <c r="H118" s="335">
        <f>SUM(H119)</f>
        <v>1.2</v>
      </c>
      <c r="I118" s="335">
        <f t="shared" ref="I118:M118" si="62">SUM(I119)</f>
        <v>0</v>
      </c>
      <c r="J118" s="338">
        <f t="shared" si="62"/>
        <v>1.2</v>
      </c>
      <c r="K118" s="338">
        <f t="shared" si="62"/>
        <v>1.3</v>
      </c>
      <c r="L118" s="338">
        <f t="shared" si="62"/>
        <v>1.36</v>
      </c>
      <c r="M118" s="338">
        <f t="shared" si="62"/>
        <v>1.42</v>
      </c>
    </row>
    <row r="119" spans="1:13" ht="90" x14ac:dyDescent="0.25">
      <c r="A119" s="10"/>
      <c r="B119" s="10"/>
      <c r="C119" s="11"/>
      <c r="D119" s="328" t="s">
        <v>973</v>
      </c>
      <c r="E119" s="235" t="s">
        <v>974</v>
      </c>
      <c r="F119" s="224" t="s">
        <v>353</v>
      </c>
      <c r="G119" s="321" t="s">
        <v>218</v>
      </c>
      <c r="H119" s="336">
        <v>1.2</v>
      </c>
      <c r="I119" s="336">
        <v>0</v>
      </c>
      <c r="J119" s="337">
        <v>1.2</v>
      </c>
      <c r="K119" s="369">
        <v>1.3</v>
      </c>
      <c r="L119" s="369">
        <v>1.36</v>
      </c>
      <c r="M119" s="369">
        <v>1.42</v>
      </c>
    </row>
    <row r="120" spans="1:13" ht="62.25" customHeight="1" x14ac:dyDescent="0.25">
      <c r="A120" s="10"/>
      <c r="B120" s="10"/>
      <c r="C120" s="11"/>
      <c r="D120" s="334" t="s">
        <v>1212</v>
      </c>
      <c r="E120" s="232" t="s">
        <v>1213</v>
      </c>
      <c r="F120" s="224"/>
      <c r="G120" s="321" t="s">
        <v>219</v>
      </c>
      <c r="H120" s="335">
        <f>SUM(H121)</f>
        <v>0</v>
      </c>
      <c r="I120" s="335">
        <f t="shared" ref="I120:M120" si="63">SUM(I121)</f>
        <v>0</v>
      </c>
      <c r="J120" s="335">
        <f t="shared" si="63"/>
        <v>0</v>
      </c>
      <c r="K120" s="335">
        <f t="shared" si="63"/>
        <v>1.8</v>
      </c>
      <c r="L120" s="335">
        <f t="shared" si="63"/>
        <v>1.9</v>
      </c>
      <c r="M120" s="335">
        <f t="shared" si="63"/>
        <v>2</v>
      </c>
    </row>
    <row r="121" spans="1:13" ht="90" x14ac:dyDescent="0.25">
      <c r="A121" s="10"/>
      <c r="B121" s="10"/>
      <c r="C121" s="11"/>
      <c r="D121" s="328" t="s">
        <v>523</v>
      </c>
      <c r="E121" s="235" t="s">
        <v>1211</v>
      </c>
      <c r="F121" s="224" t="s">
        <v>353</v>
      </c>
      <c r="G121" s="321" t="s">
        <v>220</v>
      </c>
      <c r="H121" s="336">
        <v>0</v>
      </c>
      <c r="I121" s="336">
        <v>0</v>
      </c>
      <c r="J121" s="337">
        <v>0</v>
      </c>
      <c r="K121" s="369">
        <v>1.8</v>
      </c>
      <c r="L121" s="369">
        <v>1.9</v>
      </c>
      <c r="M121" s="369">
        <v>2</v>
      </c>
    </row>
    <row r="122" spans="1:13" s="8" customFormat="1" ht="90" x14ac:dyDescent="0.25">
      <c r="A122" s="13"/>
      <c r="B122" s="13"/>
      <c r="C122" s="12"/>
      <c r="D122" s="334" t="s">
        <v>976</v>
      </c>
      <c r="E122" s="232" t="s">
        <v>975</v>
      </c>
      <c r="F122" s="222"/>
      <c r="G122" s="321" t="s">
        <v>221</v>
      </c>
      <c r="H122" s="335">
        <f>H123</f>
        <v>33.299999999999997</v>
      </c>
      <c r="I122" s="335">
        <f t="shared" ref="I122:M122" si="64">I123</f>
        <v>39.5</v>
      </c>
      <c r="J122" s="338">
        <f t="shared" si="64"/>
        <v>47.5</v>
      </c>
      <c r="K122" s="338">
        <f t="shared" si="64"/>
        <v>42</v>
      </c>
      <c r="L122" s="338">
        <f t="shared" si="64"/>
        <v>43.68</v>
      </c>
      <c r="M122" s="371">
        <f t="shared" si="64"/>
        <v>45.43</v>
      </c>
    </row>
    <row r="123" spans="1:13" ht="105" x14ac:dyDescent="0.25">
      <c r="A123" s="10"/>
      <c r="B123" s="10"/>
      <c r="C123" s="11"/>
      <c r="D123" s="328" t="s">
        <v>355</v>
      </c>
      <c r="E123" s="235" t="s">
        <v>525</v>
      </c>
      <c r="F123" s="224" t="s">
        <v>353</v>
      </c>
      <c r="G123" s="321" t="s">
        <v>222</v>
      </c>
      <c r="H123" s="336">
        <v>33.299999999999997</v>
      </c>
      <c r="I123" s="336">
        <v>39.5</v>
      </c>
      <c r="J123" s="337">
        <v>47.5</v>
      </c>
      <c r="K123" s="337">
        <v>42</v>
      </c>
      <c r="L123" s="369">
        <v>43.68</v>
      </c>
      <c r="M123" s="369">
        <v>45.43</v>
      </c>
    </row>
    <row r="124" spans="1:13" s="8" customFormat="1" ht="120" x14ac:dyDescent="0.25">
      <c r="A124" s="13"/>
      <c r="B124" s="13"/>
      <c r="C124" s="12"/>
      <c r="D124" s="334" t="s">
        <v>977</v>
      </c>
      <c r="E124" s="232" t="s">
        <v>978</v>
      </c>
      <c r="F124" s="222"/>
      <c r="G124" s="321" t="s">
        <v>223</v>
      </c>
      <c r="H124" s="335">
        <f>H125</f>
        <v>0</v>
      </c>
      <c r="I124" s="335">
        <f t="shared" ref="I124:M124" si="65">I125</f>
        <v>0.6</v>
      </c>
      <c r="J124" s="338">
        <f t="shared" si="65"/>
        <v>0.6</v>
      </c>
      <c r="K124" s="338">
        <f t="shared" si="65"/>
        <v>1</v>
      </c>
      <c r="L124" s="338">
        <f t="shared" si="65"/>
        <v>1.1000000000000001</v>
      </c>
      <c r="M124" s="338">
        <f t="shared" si="65"/>
        <v>1.1499999999999999</v>
      </c>
    </row>
    <row r="125" spans="1:13" s="8" customFormat="1" ht="150" x14ac:dyDescent="0.25">
      <c r="A125" s="13"/>
      <c r="B125" s="13"/>
      <c r="C125" s="12"/>
      <c r="D125" s="328" t="s">
        <v>357</v>
      </c>
      <c r="E125" s="235" t="s">
        <v>979</v>
      </c>
      <c r="F125" s="224" t="s">
        <v>353</v>
      </c>
      <c r="G125" s="321" t="s">
        <v>233</v>
      </c>
      <c r="H125" s="336">
        <v>0</v>
      </c>
      <c r="I125" s="336">
        <v>0.6</v>
      </c>
      <c r="J125" s="337">
        <v>0.6</v>
      </c>
      <c r="K125" s="337">
        <v>1</v>
      </c>
      <c r="L125" s="337">
        <v>1.1000000000000001</v>
      </c>
      <c r="M125" s="369">
        <v>1.1499999999999999</v>
      </c>
    </row>
    <row r="126" spans="1:13" s="8" customFormat="1" ht="75" x14ac:dyDescent="0.25">
      <c r="A126" s="13"/>
      <c r="B126" s="13"/>
      <c r="C126" s="12"/>
      <c r="D126" s="334" t="s">
        <v>982</v>
      </c>
      <c r="E126" s="232" t="s">
        <v>980</v>
      </c>
      <c r="F126" s="240"/>
      <c r="G126" s="321" t="s">
        <v>249</v>
      </c>
      <c r="H126" s="335">
        <f>H127</f>
        <v>6.9</v>
      </c>
      <c r="I126" s="335">
        <f t="shared" ref="I126:M126" si="66">I127</f>
        <v>5.9</v>
      </c>
      <c r="J126" s="338">
        <f t="shared" si="66"/>
        <v>7.7</v>
      </c>
      <c r="K126" s="338">
        <f t="shared" si="66"/>
        <v>6</v>
      </c>
      <c r="L126" s="338">
        <f t="shared" si="66"/>
        <v>6.24</v>
      </c>
      <c r="M126" s="338">
        <f t="shared" si="66"/>
        <v>6.49</v>
      </c>
    </row>
    <row r="127" spans="1:13" ht="90" x14ac:dyDescent="0.25">
      <c r="A127" s="10"/>
      <c r="B127" s="10"/>
      <c r="C127" s="11"/>
      <c r="D127" s="328" t="s">
        <v>816</v>
      </c>
      <c r="E127" s="235" t="s">
        <v>981</v>
      </c>
      <c r="F127" s="238" t="s">
        <v>353</v>
      </c>
      <c r="G127" s="321" t="s">
        <v>250</v>
      </c>
      <c r="H127" s="336">
        <v>6.9</v>
      </c>
      <c r="I127" s="336">
        <v>5.9</v>
      </c>
      <c r="J127" s="337">
        <v>7.7</v>
      </c>
      <c r="K127" s="337">
        <v>6</v>
      </c>
      <c r="L127" s="369">
        <v>6.24</v>
      </c>
      <c r="M127" s="369">
        <v>6.49</v>
      </c>
    </row>
    <row r="128" spans="1:13" ht="75" x14ac:dyDescent="0.25">
      <c r="A128" s="10"/>
      <c r="B128" s="10"/>
      <c r="C128" s="12"/>
      <c r="D128" s="334" t="s">
        <v>983</v>
      </c>
      <c r="E128" s="232" t="s">
        <v>984</v>
      </c>
      <c r="F128" s="240"/>
      <c r="G128" s="321" t="s">
        <v>251</v>
      </c>
      <c r="H128" s="335">
        <f>SUM(H129:H130)</f>
        <v>158.30000000000001</v>
      </c>
      <c r="I128" s="335">
        <f t="shared" ref="I128:M128" si="67">SUM(I129:I130)</f>
        <v>49.099999999999994</v>
      </c>
      <c r="J128" s="335">
        <f t="shared" si="67"/>
        <v>80.3</v>
      </c>
      <c r="K128" s="335">
        <f t="shared" si="67"/>
        <v>120</v>
      </c>
      <c r="L128" s="335">
        <f t="shared" si="67"/>
        <v>124.8</v>
      </c>
      <c r="M128" s="335">
        <f t="shared" si="67"/>
        <v>129.80000000000001</v>
      </c>
    </row>
    <row r="129" spans="1:15" s="8" customFormat="1" ht="90" x14ac:dyDescent="0.25">
      <c r="A129" s="13"/>
      <c r="B129" s="13"/>
      <c r="C129" s="11"/>
      <c r="D129" s="328" t="s">
        <v>359</v>
      </c>
      <c r="E129" s="235" t="s">
        <v>985</v>
      </c>
      <c r="F129" s="238" t="s">
        <v>353</v>
      </c>
      <c r="G129" s="321" t="s">
        <v>252</v>
      </c>
      <c r="H129" s="336">
        <v>158.30000000000001</v>
      </c>
      <c r="I129" s="336">
        <v>48.8</v>
      </c>
      <c r="J129" s="337">
        <v>80</v>
      </c>
      <c r="K129" s="337">
        <v>120</v>
      </c>
      <c r="L129" s="337">
        <v>124.8</v>
      </c>
      <c r="M129" s="337">
        <v>129.80000000000001</v>
      </c>
    </row>
    <row r="130" spans="1:15" s="8" customFormat="1" ht="79.5" customHeight="1" x14ac:dyDescent="0.25">
      <c r="A130" s="13"/>
      <c r="B130" s="13"/>
      <c r="C130" s="11"/>
      <c r="D130" s="328" t="s">
        <v>530</v>
      </c>
      <c r="E130" s="235" t="s">
        <v>985</v>
      </c>
      <c r="F130" s="224" t="s">
        <v>1089</v>
      </c>
      <c r="G130" s="321" t="s">
        <v>253</v>
      </c>
      <c r="H130" s="336">
        <v>0</v>
      </c>
      <c r="I130" s="336">
        <v>0.3</v>
      </c>
      <c r="J130" s="337">
        <v>0.3</v>
      </c>
      <c r="K130" s="337">
        <v>0</v>
      </c>
      <c r="L130" s="337">
        <v>0</v>
      </c>
      <c r="M130" s="337">
        <v>0</v>
      </c>
    </row>
    <row r="131" spans="1:15" ht="75" x14ac:dyDescent="0.25">
      <c r="A131" s="10"/>
      <c r="B131" s="10"/>
      <c r="C131" s="12"/>
      <c r="D131" s="334" t="s">
        <v>986</v>
      </c>
      <c r="E131" s="15" t="s">
        <v>1090</v>
      </c>
      <c r="F131" s="240"/>
      <c r="G131" s="321" t="s">
        <v>255</v>
      </c>
      <c r="H131" s="335">
        <f t="shared" ref="H131:M131" si="68">H132+H133</f>
        <v>168.3</v>
      </c>
      <c r="I131" s="335">
        <f t="shared" si="68"/>
        <v>281.2</v>
      </c>
      <c r="J131" s="338">
        <f t="shared" si="68"/>
        <v>321</v>
      </c>
      <c r="K131" s="338">
        <f t="shared" si="68"/>
        <v>291</v>
      </c>
      <c r="L131" s="338">
        <f t="shared" si="68"/>
        <v>302.64</v>
      </c>
      <c r="M131" s="338">
        <f t="shared" si="68"/>
        <v>314.75</v>
      </c>
    </row>
    <row r="132" spans="1:15" s="8" customFormat="1" ht="96" customHeight="1" x14ac:dyDescent="0.25">
      <c r="A132" s="13"/>
      <c r="B132" s="13"/>
      <c r="C132" s="11"/>
      <c r="D132" s="328" t="s">
        <v>361</v>
      </c>
      <c r="E132" s="11" t="s">
        <v>1091</v>
      </c>
      <c r="F132" s="238" t="s">
        <v>353</v>
      </c>
      <c r="G132" s="321" t="s">
        <v>256</v>
      </c>
      <c r="H132" s="336">
        <v>168.3</v>
      </c>
      <c r="I132" s="336">
        <v>278</v>
      </c>
      <c r="J132" s="337">
        <v>317.8</v>
      </c>
      <c r="K132" s="337">
        <v>288</v>
      </c>
      <c r="L132" s="369">
        <v>299.52</v>
      </c>
      <c r="M132" s="337">
        <v>311.5</v>
      </c>
    </row>
    <row r="133" spans="1:15" ht="105" x14ac:dyDescent="0.25">
      <c r="A133" s="10"/>
      <c r="B133" s="10"/>
      <c r="C133" s="11"/>
      <c r="D133" s="328" t="s">
        <v>531</v>
      </c>
      <c r="E133" s="11" t="s">
        <v>1091</v>
      </c>
      <c r="F133" s="224" t="s">
        <v>1089</v>
      </c>
      <c r="G133" s="321" t="s">
        <v>257</v>
      </c>
      <c r="H133" s="336">
        <v>0</v>
      </c>
      <c r="I133" s="336">
        <v>3.2</v>
      </c>
      <c r="J133" s="337">
        <v>3.2</v>
      </c>
      <c r="K133" s="337">
        <v>3</v>
      </c>
      <c r="L133" s="369">
        <v>3.12</v>
      </c>
      <c r="M133" s="369">
        <v>3.25</v>
      </c>
    </row>
    <row r="134" spans="1:15" ht="135" x14ac:dyDescent="0.25">
      <c r="A134" s="10"/>
      <c r="B134" s="10"/>
      <c r="C134" s="11"/>
      <c r="D134" s="334" t="s">
        <v>1198</v>
      </c>
      <c r="E134" s="15" t="s">
        <v>1199</v>
      </c>
      <c r="F134" s="224"/>
      <c r="G134" s="321" t="s">
        <v>285</v>
      </c>
      <c r="H134" s="335">
        <f>SUM(H135)</f>
        <v>0</v>
      </c>
      <c r="I134" s="335">
        <f t="shared" ref="I134:M135" si="69">SUM(I135)</f>
        <v>6.9</v>
      </c>
      <c r="J134" s="335">
        <f t="shared" si="69"/>
        <v>6.9</v>
      </c>
      <c r="K134" s="335">
        <f t="shared" si="69"/>
        <v>0</v>
      </c>
      <c r="L134" s="335">
        <f t="shared" si="69"/>
        <v>0</v>
      </c>
      <c r="M134" s="335">
        <f t="shared" si="69"/>
        <v>0</v>
      </c>
    </row>
    <row r="135" spans="1:15" ht="60" x14ac:dyDescent="0.25">
      <c r="A135" s="10"/>
      <c r="B135" s="10"/>
      <c r="C135" s="11"/>
      <c r="D135" s="334" t="s">
        <v>1201</v>
      </c>
      <c r="E135" s="15" t="s">
        <v>1200</v>
      </c>
      <c r="F135" s="224"/>
      <c r="G135" s="321" t="s">
        <v>286</v>
      </c>
      <c r="H135" s="335">
        <f>SUM(H136)</f>
        <v>0</v>
      </c>
      <c r="I135" s="335">
        <f t="shared" si="69"/>
        <v>6.9</v>
      </c>
      <c r="J135" s="335">
        <f t="shared" si="69"/>
        <v>6.9</v>
      </c>
      <c r="K135" s="335">
        <f t="shared" si="69"/>
        <v>0</v>
      </c>
      <c r="L135" s="335">
        <f t="shared" si="69"/>
        <v>0</v>
      </c>
      <c r="M135" s="335">
        <f t="shared" si="69"/>
        <v>0</v>
      </c>
    </row>
    <row r="136" spans="1:15" ht="75" x14ac:dyDescent="0.25">
      <c r="A136" s="10"/>
      <c r="B136" s="10"/>
      <c r="C136" s="11"/>
      <c r="D136" s="328" t="s">
        <v>1201</v>
      </c>
      <c r="E136" s="11" t="s">
        <v>847</v>
      </c>
      <c r="F136" s="224"/>
      <c r="G136" s="321" t="s">
        <v>287</v>
      </c>
      <c r="H136" s="336">
        <v>0</v>
      </c>
      <c r="I136" s="336">
        <v>6.9</v>
      </c>
      <c r="J136" s="337">
        <v>6.9</v>
      </c>
      <c r="K136" s="337">
        <v>0</v>
      </c>
      <c r="L136" s="337">
        <v>0</v>
      </c>
      <c r="M136" s="337">
        <v>0</v>
      </c>
    </row>
    <row r="137" spans="1:15" ht="30" x14ac:dyDescent="0.25">
      <c r="A137" s="10"/>
      <c r="B137" s="10"/>
      <c r="C137" s="12"/>
      <c r="D137" s="334" t="s">
        <v>1092</v>
      </c>
      <c r="E137" s="15" t="s">
        <v>1093</v>
      </c>
      <c r="F137" s="240"/>
      <c r="G137" s="321" t="s">
        <v>288</v>
      </c>
      <c r="H137" s="335">
        <f>SUM(H138+H141)</f>
        <v>73.2</v>
      </c>
      <c r="I137" s="335">
        <f t="shared" ref="I137:M137" si="70">SUM(I138+I141)</f>
        <v>159.29999999999998</v>
      </c>
      <c r="J137" s="335">
        <f t="shared" si="70"/>
        <v>159.29999999999998</v>
      </c>
      <c r="K137" s="335">
        <f t="shared" si="70"/>
        <v>12</v>
      </c>
      <c r="L137" s="335">
        <f t="shared" si="70"/>
        <v>12.48</v>
      </c>
      <c r="M137" s="335">
        <f t="shared" si="70"/>
        <v>13</v>
      </c>
    </row>
    <row r="138" spans="1:15" ht="105" x14ac:dyDescent="0.25">
      <c r="A138" s="10"/>
      <c r="B138" s="10"/>
      <c r="C138" s="12"/>
      <c r="D138" s="334" t="s">
        <v>1094</v>
      </c>
      <c r="E138" s="15" t="s">
        <v>1095</v>
      </c>
      <c r="F138" s="240"/>
      <c r="G138" s="321" t="s">
        <v>289</v>
      </c>
      <c r="H138" s="335">
        <f>SUM(H139:H140)</f>
        <v>0</v>
      </c>
      <c r="I138" s="335">
        <f t="shared" ref="I138:M138" si="71">SUM(I139:I140)</f>
        <v>149.29999999999998</v>
      </c>
      <c r="J138" s="335">
        <f t="shared" si="71"/>
        <v>149.29999999999998</v>
      </c>
      <c r="K138" s="335">
        <f t="shared" si="71"/>
        <v>0</v>
      </c>
      <c r="L138" s="335">
        <f t="shared" si="71"/>
        <v>0</v>
      </c>
      <c r="M138" s="335">
        <f t="shared" si="71"/>
        <v>0</v>
      </c>
    </row>
    <row r="139" spans="1:15" ht="45" x14ac:dyDescent="0.25">
      <c r="A139" s="10"/>
      <c r="B139" s="10"/>
      <c r="C139" s="12"/>
      <c r="D139" s="328" t="s">
        <v>1202</v>
      </c>
      <c r="E139" s="11" t="s">
        <v>1203</v>
      </c>
      <c r="F139" s="240"/>
      <c r="G139" s="321" t="s">
        <v>291</v>
      </c>
      <c r="H139" s="336">
        <v>0</v>
      </c>
      <c r="I139" s="336">
        <v>24.2</v>
      </c>
      <c r="J139" s="336">
        <v>24.2</v>
      </c>
      <c r="K139" s="336">
        <v>0</v>
      </c>
      <c r="L139" s="336">
        <v>0</v>
      </c>
      <c r="M139" s="336">
        <v>0</v>
      </c>
    </row>
    <row r="140" spans="1:15" ht="90" x14ac:dyDescent="0.25">
      <c r="A140" s="10"/>
      <c r="B140" s="10"/>
      <c r="C140" s="11"/>
      <c r="D140" s="328" t="s">
        <v>1097</v>
      </c>
      <c r="E140" s="11" t="s">
        <v>1096</v>
      </c>
      <c r="F140" s="238" t="s">
        <v>829</v>
      </c>
      <c r="G140" s="321" t="s">
        <v>292</v>
      </c>
      <c r="H140" s="336">
        <v>0</v>
      </c>
      <c r="I140" s="336">
        <v>125.1</v>
      </c>
      <c r="J140" s="337">
        <v>125.1</v>
      </c>
      <c r="K140" s="337">
        <v>0</v>
      </c>
      <c r="L140" s="337">
        <v>0</v>
      </c>
      <c r="M140" s="337">
        <v>0</v>
      </c>
    </row>
    <row r="141" spans="1:15" s="17" customFormat="1" ht="89.25" customHeight="1" x14ac:dyDescent="0.25">
      <c r="A141" s="16"/>
      <c r="B141" s="16"/>
      <c r="C141" s="11"/>
      <c r="D141" s="334" t="s">
        <v>1098</v>
      </c>
      <c r="E141" s="15" t="s">
        <v>987</v>
      </c>
      <c r="F141" s="299"/>
      <c r="G141" s="321" t="s">
        <v>293</v>
      </c>
      <c r="H141" s="335">
        <f>SUM(H142)</f>
        <v>73.2</v>
      </c>
      <c r="I141" s="335">
        <f t="shared" ref="I141:M141" si="72">SUM(I142)</f>
        <v>10</v>
      </c>
      <c r="J141" s="335">
        <f t="shared" si="72"/>
        <v>10</v>
      </c>
      <c r="K141" s="335">
        <f t="shared" si="72"/>
        <v>12</v>
      </c>
      <c r="L141" s="372">
        <f t="shared" si="72"/>
        <v>12.48</v>
      </c>
      <c r="M141" s="335">
        <f t="shared" si="72"/>
        <v>13</v>
      </c>
    </row>
    <row r="142" spans="1:15" s="17" customFormat="1" ht="78" customHeight="1" x14ac:dyDescent="0.25">
      <c r="A142" s="16"/>
      <c r="B142" s="16"/>
      <c r="C142" s="11"/>
      <c r="D142" s="328" t="s">
        <v>1099</v>
      </c>
      <c r="E142" s="11" t="s">
        <v>988</v>
      </c>
      <c r="F142" s="224" t="s">
        <v>1100</v>
      </c>
      <c r="G142" s="321" t="s">
        <v>294</v>
      </c>
      <c r="H142" s="336">
        <v>73.2</v>
      </c>
      <c r="I142" s="336">
        <v>10</v>
      </c>
      <c r="J142" s="337">
        <v>10</v>
      </c>
      <c r="K142" s="337">
        <v>12</v>
      </c>
      <c r="L142" s="369">
        <v>12.48</v>
      </c>
      <c r="M142" s="337">
        <v>13</v>
      </c>
    </row>
    <row r="143" spans="1:15" ht="29.25" x14ac:dyDescent="0.25">
      <c r="A143" s="10"/>
      <c r="B143" s="10"/>
      <c r="C143" s="12" t="s">
        <v>238</v>
      </c>
      <c r="D143" s="331" t="s">
        <v>239</v>
      </c>
      <c r="E143" s="229" t="s">
        <v>238</v>
      </c>
      <c r="F143" s="239"/>
      <c r="G143" s="321" t="s">
        <v>295</v>
      </c>
      <c r="H143" s="332">
        <f t="shared" ref="H143:M143" si="73">H144+H147+H150</f>
        <v>2260.9</v>
      </c>
      <c r="I143" s="332">
        <f t="shared" si="73"/>
        <v>2749</v>
      </c>
      <c r="J143" s="333">
        <f t="shared" si="73"/>
        <v>2261.1</v>
      </c>
      <c r="K143" s="333">
        <f t="shared" si="73"/>
        <v>0</v>
      </c>
      <c r="L143" s="333">
        <f t="shared" si="73"/>
        <v>0</v>
      </c>
      <c r="M143" s="333">
        <f t="shared" si="73"/>
        <v>0</v>
      </c>
    </row>
    <row r="144" spans="1:15" x14ac:dyDescent="0.25">
      <c r="A144" s="16"/>
      <c r="B144" s="16"/>
      <c r="C144" s="15"/>
      <c r="D144" s="334" t="s">
        <v>242</v>
      </c>
      <c r="E144" s="232" t="s">
        <v>240</v>
      </c>
      <c r="F144" s="240"/>
      <c r="G144" s="321" t="s">
        <v>427</v>
      </c>
      <c r="H144" s="335">
        <f t="shared" ref="H144:M144" si="74">SUM(H145:H146)</f>
        <v>0</v>
      </c>
      <c r="I144" s="335">
        <f t="shared" si="74"/>
        <v>287.89999999999998</v>
      </c>
      <c r="J144" s="338">
        <f t="shared" si="74"/>
        <v>0</v>
      </c>
      <c r="K144" s="338">
        <f t="shared" si="74"/>
        <v>0</v>
      </c>
      <c r="L144" s="338">
        <f t="shared" si="74"/>
        <v>0</v>
      </c>
      <c r="M144" s="338">
        <f t="shared" si="74"/>
        <v>0</v>
      </c>
      <c r="N144" s="164"/>
      <c r="O144" s="164"/>
    </row>
    <row r="145" spans="1:17" ht="60" customHeight="1" x14ac:dyDescent="0.25">
      <c r="A145" s="16"/>
      <c r="B145" s="16"/>
      <c r="C145" s="15"/>
      <c r="D145" s="328" t="s">
        <v>850</v>
      </c>
      <c r="E145" s="235" t="s">
        <v>848</v>
      </c>
      <c r="F145" s="238" t="s">
        <v>726</v>
      </c>
      <c r="G145" s="321" t="s">
        <v>428</v>
      </c>
      <c r="H145" s="336">
        <v>0</v>
      </c>
      <c r="I145" s="336">
        <v>73.5</v>
      </c>
      <c r="J145" s="337">
        <v>0</v>
      </c>
      <c r="K145" s="337">
        <v>0</v>
      </c>
      <c r="L145" s="337">
        <v>0</v>
      </c>
      <c r="M145" s="337">
        <v>0</v>
      </c>
    </row>
    <row r="146" spans="1:17" s="29" customFormat="1" ht="84" customHeight="1" x14ac:dyDescent="0.25">
      <c r="A146" s="10"/>
      <c r="B146" s="10"/>
      <c r="C146" s="11"/>
      <c r="D146" s="328" t="s">
        <v>1101</v>
      </c>
      <c r="E146" s="235" t="s">
        <v>848</v>
      </c>
      <c r="F146" s="224" t="s">
        <v>1102</v>
      </c>
      <c r="G146" s="321" t="s">
        <v>429</v>
      </c>
      <c r="H146" s="336">
        <v>0</v>
      </c>
      <c r="I146" s="336">
        <v>214.4</v>
      </c>
      <c r="J146" s="337">
        <v>0</v>
      </c>
      <c r="K146" s="337">
        <v>0</v>
      </c>
      <c r="L146" s="337">
        <v>0</v>
      </c>
      <c r="M146" s="337">
        <v>0</v>
      </c>
    </row>
    <row r="147" spans="1:17" s="8" customFormat="1" x14ac:dyDescent="0.25">
      <c r="A147" s="10"/>
      <c r="B147" s="10"/>
      <c r="C147" s="15" t="s">
        <v>240</v>
      </c>
      <c r="D147" s="334" t="s">
        <v>547</v>
      </c>
      <c r="E147" s="232" t="s">
        <v>548</v>
      </c>
      <c r="F147" s="240"/>
      <c r="G147" s="321" t="s">
        <v>430</v>
      </c>
      <c r="H147" s="335">
        <f>SUM(H148)</f>
        <v>0</v>
      </c>
      <c r="I147" s="335">
        <f t="shared" ref="I147:M148" si="75">SUM(I148)</f>
        <v>200.2</v>
      </c>
      <c r="J147" s="335">
        <f t="shared" si="75"/>
        <v>0.2</v>
      </c>
      <c r="K147" s="335">
        <f t="shared" si="75"/>
        <v>0</v>
      </c>
      <c r="L147" s="335">
        <f t="shared" si="75"/>
        <v>0</v>
      </c>
      <c r="M147" s="335">
        <f t="shared" si="75"/>
        <v>0</v>
      </c>
    </row>
    <row r="148" spans="1:17" s="8" customFormat="1" ht="30" x14ac:dyDescent="0.25">
      <c r="A148" s="10"/>
      <c r="B148" s="10"/>
      <c r="C148" s="15"/>
      <c r="D148" s="328" t="s">
        <v>851</v>
      </c>
      <c r="E148" s="235" t="s">
        <v>852</v>
      </c>
      <c r="F148" s="240"/>
      <c r="G148" s="321" t="s">
        <v>431</v>
      </c>
      <c r="H148" s="336">
        <f>SUM(H149)</f>
        <v>0</v>
      </c>
      <c r="I148" s="336">
        <f t="shared" si="75"/>
        <v>200.2</v>
      </c>
      <c r="J148" s="336">
        <f t="shared" si="75"/>
        <v>0.2</v>
      </c>
      <c r="K148" s="336">
        <f t="shared" si="75"/>
        <v>0</v>
      </c>
      <c r="L148" s="336">
        <f t="shared" si="75"/>
        <v>0</v>
      </c>
      <c r="M148" s="336">
        <f t="shared" si="75"/>
        <v>0</v>
      </c>
    </row>
    <row r="149" spans="1:17" s="8" customFormat="1" ht="90" x14ac:dyDescent="0.25">
      <c r="A149" s="123"/>
      <c r="B149" s="123"/>
      <c r="C149" s="11"/>
      <c r="D149" s="328" t="s">
        <v>1103</v>
      </c>
      <c r="E149" s="235" t="s">
        <v>852</v>
      </c>
      <c r="F149" s="224" t="s">
        <v>1102</v>
      </c>
      <c r="G149" s="321" t="s">
        <v>442</v>
      </c>
      <c r="H149" s="336">
        <v>0</v>
      </c>
      <c r="I149" s="336">
        <v>200.2</v>
      </c>
      <c r="J149" s="337">
        <v>0.2</v>
      </c>
      <c r="K149" s="337">
        <v>0</v>
      </c>
      <c r="L149" s="337">
        <v>0</v>
      </c>
      <c r="M149" s="337">
        <v>0</v>
      </c>
    </row>
    <row r="150" spans="1:17" s="8" customFormat="1" x14ac:dyDescent="0.25">
      <c r="A150" s="123"/>
      <c r="B150" s="123"/>
      <c r="C150" s="11"/>
      <c r="D150" s="334" t="s">
        <v>1104</v>
      </c>
      <c r="E150" s="232" t="s">
        <v>853</v>
      </c>
      <c r="F150" s="224"/>
      <c r="G150" s="321" t="s">
        <v>443</v>
      </c>
      <c r="H150" s="335">
        <f>SUM(H151)</f>
        <v>2260.9</v>
      </c>
      <c r="I150" s="335">
        <f t="shared" ref="I150:M150" si="76">SUM(I151)</f>
        <v>2260.9</v>
      </c>
      <c r="J150" s="338">
        <f t="shared" si="76"/>
        <v>2260.9</v>
      </c>
      <c r="K150" s="338">
        <f t="shared" si="76"/>
        <v>0</v>
      </c>
      <c r="L150" s="338">
        <f t="shared" si="76"/>
        <v>0</v>
      </c>
      <c r="M150" s="338">
        <f t="shared" si="76"/>
        <v>0</v>
      </c>
    </row>
    <row r="151" spans="1:17" s="8" customFormat="1" ht="90" x14ac:dyDescent="0.25">
      <c r="A151" s="123"/>
      <c r="B151" s="123"/>
      <c r="C151" s="11"/>
      <c r="D151" s="328" t="s">
        <v>1105</v>
      </c>
      <c r="E151" s="282" t="s">
        <v>874</v>
      </c>
      <c r="F151" s="224" t="s">
        <v>829</v>
      </c>
      <c r="G151" s="321" t="s">
        <v>447</v>
      </c>
      <c r="H151" s="336">
        <v>2260.9</v>
      </c>
      <c r="I151" s="336">
        <v>2260.9</v>
      </c>
      <c r="J151" s="337">
        <v>2260.9</v>
      </c>
      <c r="K151" s="337">
        <v>0</v>
      </c>
      <c r="L151" s="337">
        <v>0</v>
      </c>
      <c r="M151" s="337">
        <v>0</v>
      </c>
    </row>
    <row r="152" spans="1:17" ht="29.25" x14ac:dyDescent="0.25">
      <c r="A152" s="119"/>
      <c r="B152" s="119"/>
      <c r="C152" s="124" t="s">
        <v>169</v>
      </c>
      <c r="D152" s="344" t="s">
        <v>170</v>
      </c>
      <c r="E152" s="124" t="s">
        <v>169</v>
      </c>
      <c r="F152" s="126"/>
      <c r="G152" s="316" t="s">
        <v>450</v>
      </c>
      <c r="H152" s="345">
        <f>H153+H244+H238+H235</f>
        <v>1372757.9</v>
      </c>
      <c r="I152" s="345">
        <f t="shared" ref="I152:M152" si="77">I153+I244+I238+I235</f>
        <v>1044063.7</v>
      </c>
      <c r="J152" s="345">
        <f t="shared" si="77"/>
        <v>1372973.3</v>
      </c>
      <c r="K152" s="345">
        <f t="shared" si="77"/>
        <v>841117.30000000016</v>
      </c>
      <c r="L152" s="345">
        <f t="shared" si="77"/>
        <v>789385</v>
      </c>
      <c r="M152" s="345">
        <f t="shared" si="77"/>
        <v>979208.6</v>
      </c>
      <c r="P152" s="164"/>
      <c r="Q152" s="164"/>
    </row>
    <row r="153" spans="1:17" s="8" customFormat="1" ht="57.75" x14ac:dyDescent="0.25">
      <c r="A153" s="25"/>
      <c r="B153" s="25"/>
      <c r="C153" s="155" t="s">
        <v>171</v>
      </c>
      <c r="D153" s="346" t="s">
        <v>172</v>
      </c>
      <c r="E153" s="155" t="s">
        <v>173</v>
      </c>
      <c r="F153" s="156"/>
      <c r="G153" s="319" t="s">
        <v>451</v>
      </c>
      <c r="H153" s="341">
        <f t="shared" ref="H153:M153" si="78">H154+H161+H198+H226</f>
        <v>1375664.5</v>
      </c>
      <c r="I153" s="341">
        <f t="shared" si="78"/>
        <v>1046754.8999999999</v>
      </c>
      <c r="J153" s="347">
        <f t="shared" si="78"/>
        <v>1375664.5</v>
      </c>
      <c r="K153" s="347">
        <f t="shared" si="78"/>
        <v>841117.30000000016</v>
      </c>
      <c r="L153" s="347">
        <f t="shared" si="78"/>
        <v>789385</v>
      </c>
      <c r="M153" s="347">
        <f t="shared" si="78"/>
        <v>979208.6</v>
      </c>
      <c r="N153" s="203"/>
      <c r="O153" s="203"/>
      <c r="P153" s="164"/>
      <c r="Q153" s="164"/>
    </row>
    <row r="154" spans="1:17" s="43" customFormat="1" ht="72" x14ac:dyDescent="0.25">
      <c r="A154" s="158"/>
      <c r="B154" s="158"/>
      <c r="C154" s="120" t="s">
        <v>174</v>
      </c>
      <c r="D154" s="340" t="s">
        <v>260</v>
      </c>
      <c r="E154" s="120" t="s">
        <v>864</v>
      </c>
      <c r="F154" s="121"/>
      <c r="G154" s="319" t="s">
        <v>460</v>
      </c>
      <c r="H154" s="341">
        <f>H156+H158+H159</f>
        <v>443964</v>
      </c>
      <c r="I154" s="341">
        <f t="shared" ref="I154:M154" si="79">I156+I158+I159</f>
        <v>358599.5</v>
      </c>
      <c r="J154" s="341">
        <f t="shared" si="79"/>
        <v>443964</v>
      </c>
      <c r="K154" s="341">
        <f t="shared" si="79"/>
        <v>408992.60000000003</v>
      </c>
      <c r="L154" s="341">
        <f t="shared" si="79"/>
        <v>338033.4</v>
      </c>
      <c r="M154" s="341">
        <f t="shared" si="79"/>
        <v>345788.8</v>
      </c>
      <c r="P154" s="164"/>
      <c r="Q154" s="164"/>
    </row>
    <row r="155" spans="1:17" s="43" customFormat="1" x14ac:dyDescent="0.25">
      <c r="A155" s="158"/>
      <c r="B155" s="158"/>
      <c r="C155" s="229"/>
      <c r="D155" s="331" t="s">
        <v>1106</v>
      </c>
      <c r="E155" s="334" t="s">
        <v>1107</v>
      </c>
      <c r="F155" s="227"/>
      <c r="G155" s="321" t="s">
        <v>461</v>
      </c>
      <c r="H155" s="335">
        <f>SUM(H156)</f>
        <v>390041.9</v>
      </c>
      <c r="I155" s="335">
        <f t="shared" ref="I155:M155" si="80">SUM(I156)</f>
        <v>317158</v>
      </c>
      <c r="J155" s="335">
        <f t="shared" si="80"/>
        <v>390041.9</v>
      </c>
      <c r="K155" s="335">
        <f t="shared" si="80"/>
        <v>379218.7</v>
      </c>
      <c r="L155" s="335">
        <f t="shared" si="80"/>
        <v>319110.5</v>
      </c>
      <c r="M155" s="335">
        <f t="shared" si="80"/>
        <v>336416.6</v>
      </c>
      <c r="P155" s="164"/>
      <c r="Q155" s="164"/>
    </row>
    <row r="156" spans="1:17" s="43" customFormat="1" ht="60.75" customHeight="1" x14ac:dyDescent="0.25">
      <c r="A156" s="41"/>
      <c r="B156" s="41"/>
      <c r="C156" s="11"/>
      <c r="D156" s="215" t="s">
        <v>721</v>
      </c>
      <c r="E156" s="215" t="s">
        <v>1108</v>
      </c>
      <c r="F156" s="151" t="s">
        <v>726</v>
      </c>
      <c r="G156" s="321" t="s">
        <v>462</v>
      </c>
      <c r="H156" s="326">
        <v>390041.9</v>
      </c>
      <c r="I156" s="326">
        <v>317158</v>
      </c>
      <c r="J156" s="327">
        <f>SUM(H156)</f>
        <v>390041.9</v>
      </c>
      <c r="K156" s="327">
        <v>379218.7</v>
      </c>
      <c r="L156" s="337">
        <v>319110.5</v>
      </c>
      <c r="M156" s="337">
        <v>336416.6</v>
      </c>
    </row>
    <row r="157" spans="1:17" s="43" customFormat="1" ht="31.5" customHeight="1" x14ac:dyDescent="0.25">
      <c r="A157" s="41"/>
      <c r="B157" s="41"/>
      <c r="C157" s="11"/>
      <c r="D157" s="331" t="s">
        <v>1110</v>
      </c>
      <c r="E157" s="15" t="s">
        <v>1111</v>
      </c>
      <c r="F157" s="151"/>
      <c r="G157" s="321" t="s">
        <v>468</v>
      </c>
      <c r="H157" s="324">
        <f>SUM(H158)</f>
        <v>49922.1</v>
      </c>
      <c r="I157" s="324">
        <f t="shared" ref="I157:M157" si="81">SUM(I158)</f>
        <v>37441.5</v>
      </c>
      <c r="J157" s="324">
        <f t="shared" si="81"/>
        <v>49922.1</v>
      </c>
      <c r="K157" s="324">
        <f t="shared" si="81"/>
        <v>29773.9</v>
      </c>
      <c r="L157" s="324">
        <f t="shared" si="81"/>
        <v>18922.900000000001</v>
      </c>
      <c r="M157" s="324">
        <f t="shared" si="81"/>
        <v>9372.2000000000007</v>
      </c>
    </row>
    <row r="158" spans="1:17" s="43" customFormat="1" ht="57" customHeight="1" x14ac:dyDescent="0.25">
      <c r="A158" s="41"/>
      <c r="B158" s="41"/>
      <c r="C158" s="11"/>
      <c r="D158" s="215" t="s">
        <v>722</v>
      </c>
      <c r="E158" s="300" t="s">
        <v>1109</v>
      </c>
      <c r="F158" s="151" t="s">
        <v>726</v>
      </c>
      <c r="G158" s="321" t="s">
        <v>469</v>
      </c>
      <c r="H158" s="326">
        <v>49922.1</v>
      </c>
      <c r="I158" s="326">
        <v>37441.5</v>
      </c>
      <c r="J158" s="327">
        <f>SUM(H158)</f>
        <v>49922.1</v>
      </c>
      <c r="K158" s="327">
        <v>29773.9</v>
      </c>
      <c r="L158" s="337">
        <v>18922.900000000001</v>
      </c>
      <c r="M158" s="337">
        <v>9372.2000000000007</v>
      </c>
    </row>
    <row r="159" spans="1:17" s="43" customFormat="1" ht="18" customHeight="1" x14ac:dyDescent="0.25">
      <c r="A159" s="41"/>
      <c r="B159" s="41"/>
      <c r="C159" s="11"/>
      <c r="D159" s="331" t="s">
        <v>1112</v>
      </c>
      <c r="E159" s="301" t="s">
        <v>1113</v>
      </c>
      <c r="F159" s="152"/>
      <c r="G159" s="321" t="s">
        <v>470</v>
      </c>
      <c r="H159" s="324">
        <f>SUM(H160)</f>
        <v>4000</v>
      </c>
      <c r="I159" s="324">
        <f t="shared" ref="I159:M159" si="82">SUM(I160)</f>
        <v>4000</v>
      </c>
      <c r="J159" s="324">
        <f t="shared" si="82"/>
        <v>4000</v>
      </c>
      <c r="K159" s="324">
        <f t="shared" si="82"/>
        <v>0</v>
      </c>
      <c r="L159" s="324">
        <f t="shared" si="82"/>
        <v>0</v>
      </c>
      <c r="M159" s="324">
        <f t="shared" si="82"/>
        <v>0</v>
      </c>
    </row>
    <row r="160" spans="1:17" s="43" customFormat="1" ht="57" customHeight="1" x14ac:dyDescent="0.25">
      <c r="A160" s="41"/>
      <c r="B160" s="41"/>
      <c r="C160" s="11"/>
      <c r="D160" s="328" t="s">
        <v>1115</v>
      </c>
      <c r="E160" s="300" t="s">
        <v>1114</v>
      </c>
      <c r="F160" s="151" t="s">
        <v>726</v>
      </c>
      <c r="G160" s="321" t="s">
        <v>471</v>
      </c>
      <c r="H160" s="326">
        <v>4000</v>
      </c>
      <c r="I160" s="326">
        <v>4000</v>
      </c>
      <c r="J160" s="327">
        <f>SUM(H160)</f>
        <v>4000</v>
      </c>
      <c r="K160" s="327">
        <v>0</v>
      </c>
      <c r="L160" s="337">
        <v>0</v>
      </c>
      <c r="M160" s="337">
        <v>0</v>
      </c>
    </row>
    <row r="161" spans="1:17" s="43" customFormat="1" ht="43.5" x14ac:dyDescent="0.25">
      <c r="A161" s="41"/>
      <c r="B161" s="41"/>
      <c r="C161" s="120" t="s">
        <v>224</v>
      </c>
      <c r="D161" s="120" t="s">
        <v>262</v>
      </c>
      <c r="E161" s="120" t="s">
        <v>876</v>
      </c>
      <c r="F161" s="121"/>
      <c r="G161" s="319" t="s">
        <v>476</v>
      </c>
      <c r="H161" s="341">
        <f>SUM(H162+H164+H166+H168+H172+H174+H176+H178+H180+H170)</f>
        <v>479949.2</v>
      </c>
      <c r="I161" s="341">
        <f t="shared" ref="I161:M161" si="83">SUM(I162+I164+I166+I168+I172+I174+I176+I178+I180+I170)</f>
        <v>292051.20000000001</v>
      </c>
      <c r="J161" s="341">
        <f t="shared" si="83"/>
        <v>479949.2</v>
      </c>
      <c r="K161" s="341">
        <f t="shared" si="83"/>
        <v>40972.199999999997</v>
      </c>
      <c r="L161" s="341">
        <f t="shared" si="83"/>
        <v>58023.6</v>
      </c>
      <c r="M161" s="341">
        <f t="shared" si="83"/>
        <v>225951.1</v>
      </c>
      <c r="P161" s="219"/>
      <c r="Q161" s="219"/>
    </row>
    <row r="162" spans="1:17" s="43" customFormat="1" ht="33" customHeight="1" x14ac:dyDescent="0.25">
      <c r="A162" s="41"/>
      <c r="B162" s="41"/>
      <c r="C162" s="229"/>
      <c r="D162" s="232" t="s">
        <v>1116</v>
      </c>
      <c r="E162" s="15" t="s">
        <v>1117</v>
      </c>
      <c r="F162" s="222"/>
      <c r="G162" s="321" t="s">
        <v>477</v>
      </c>
      <c r="H162" s="335">
        <f>SUM(H163)</f>
        <v>87719.3</v>
      </c>
      <c r="I162" s="335">
        <f t="shared" ref="I162:M162" si="84">SUM(I163)</f>
        <v>67459.600000000006</v>
      </c>
      <c r="J162" s="335">
        <f t="shared" si="84"/>
        <v>87719.3</v>
      </c>
      <c r="K162" s="335">
        <f t="shared" si="84"/>
        <v>0</v>
      </c>
      <c r="L162" s="335">
        <f t="shared" si="84"/>
        <v>0</v>
      </c>
      <c r="M162" s="335">
        <f t="shared" si="84"/>
        <v>0</v>
      </c>
      <c r="O162" s="219"/>
      <c r="P162" s="219"/>
      <c r="Q162" s="219"/>
    </row>
    <row r="163" spans="1:17" s="43" customFormat="1" ht="90" x14ac:dyDescent="0.25">
      <c r="A163" s="41"/>
      <c r="B163" s="41"/>
      <c r="C163" s="229"/>
      <c r="D163" s="235" t="s">
        <v>761</v>
      </c>
      <c r="E163" s="11" t="s">
        <v>1118</v>
      </c>
      <c r="F163" s="224" t="s">
        <v>1102</v>
      </c>
      <c r="G163" s="321" t="s">
        <v>478</v>
      </c>
      <c r="H163" s="336">
        <v>87719.3</v>
      </c>
      <c r="I163" s="336">
        <v>67459.600000000006</v>
      </c>
      <c r="J163" s="336">
        <f>SUM(H163)</f>
        <v>87719.3</v>
      </c>
      <c r="K163" s="336">
        <v>0</v>
      </c>
      <c r="L163" s="336">
        <v>0</v>
      </c>
      <c r="M163" s="336">
        <v>0</v>
      </c>
      <c r="P163" s="219"/>
      <c r="Q163" s="219"/>
    </row>
    <row r="164" spans="1:17" s="43" customFormat="1" ht="90" x14ac:dyDescent="0.25">
      <c r="A164" s="41"/>
      <c r="B164" s="41"/>
      <c r="C164" s="229"/>
      <c r="D164" s="232" t="s">
        <v>1119</v>
      </c>
      <c r="E164" s="15" t="s">
        <v>1120</v>
      </c>
      <c r="F164" s="222"/>
      <c r="G164" s="321" t="s">
        <v>479</v>
      </c>
      <c r="H164" s="335">
        <f>SUM(H165)</f>
        <v>14071.3</v>
      </c>
      <c r="I164" s="335">
        <f t="shared" ref="I164:M164" si="85">SUM(I165)</f>
        <v>14034.1</v>
      </c>
      <c r="J164" s="335">
        <f t="shared" si="85"/>
        <v>14071.3</v>
      </c>
      <c r="K164" s="335">
        <f t="shared" si="85"/>
        <v>0</v>
      </c>
      <c r="L164" s="335">
        <f t="shared" si="85"/>
        <v>0</v>
      </c>
      <c r="M164" s="335">
        <f t="shared" si="85"/>
        <v>0</v>
      </c>
      <c r="P164" s="219"/>
      <c r="Q164" s="219"/>
    </row>
    <row r="165" spans="1:17" s="43" customFormat="1" ht="90" x14ac:dyDescent="0.25">
      <c r="A165" s="41"/>
      <c r="B165" s="41"/>
      <c r="C165" s="229"/>
      <c r="D165" s="273" t="s">
        <v>1122</v>
      </c>
      <c r="E165" s="330" t="s">
        <v>1121</v>
      </c>
      <c r="F165" s="224" t="s">
        <v>829</v>
      </c>
      <c r="G165" s="321" t="s">
        <v>480</v>
      </c>
      <c r="H165" s="336">
        <v>14071.3</v>
      </c>
      <c r="I165" s="336">
        <v>14034.1</v>
      </c>
      <c r="J165" s="336">
        <f>SUM(H165)</f>
        <v>14071.3</v>
      </c>
      <c r="K165" s="336">
        <v>0</v>
      </c>
      <c r="L165" s="336">
        <v>0</v>
      </c>
      <c r="M165" s="336">
        <v>0</v>
      </c>
    </row>
    <row r="166" spans="1:17" s="43" customFormat="1" ht="60" x14ac:dyDescent="0.25">
      <c r="A166" s="41"/>
      <c r="B166" s="41"/>
      <c r="C166" s="229"/>
      <c r="D166" s="232" t="s">
        <v>1123</v>
      </c>
      <c r="E166" s="15" t="s">
        <v>1124</v>
      </c>
      <c r="F166" s="224"/>
      <c r="G166" s="321" t="s">
        <v>481</v>
      </c>
      <c r="H166" s="335">
        <f>SUM(H167)</f>
        <v>7887.7</v>
      </c>
      <c r="I166" s="335">
        <f t="shared" ref="I166:M166" si="86">SUM(I167)</f>
        <v>5294.1</v>
      </c>
      <c r="J166" s="335">
        <f t="shared" si="86"/>
        <v>7887.7</v>
      </c>
      <c r="K166" s="335">
        <f t="shared" si="86"/>
        <v>7737.4</v>
      </c>
      <c r="L166" s="335">
        <f t="shared" si="86"/>
        <v>7559.6</v>
      </c>
      <c r="M166" s="335">
        <f t="shared" si="86"/>
        <v>7229.3</v>
      </c>
    </row>
    <row r="167" spans="1:17" s="43" customFormat="1" ht="75" x14ac:dyDescent="0.25">
      <c r="A167" s="41"/>
      <c r="B167" s="41"/>
      <c r="C167" s="229"/>
      <c r="D167" s="235" t="s">
        <v>1125</v>
      </c>
      <c r="E167" s="11" t="s">
        <v>734</v>
      </c>
      <c r="F167" s="224"/>
      <c r="G167" s="321" t="s">
        <v>482</v>
      </c>
      <c r="H167" s="336">
        <v>7887.7</v>
      </c>
      <c r="I167" s="336">
        <v>5294.1</v>
      </c>
      <c r="J167" s="336">
        <f>SUM(H167)</f>
        <v>7887.7</v>
      </c>
      <c r="K167" s="336">
        <v>7737.4</v>
      </c>
      <c r="L167" s="336">
        <v>7559.6</v>
      </c>
      <c r="M167" s="336">
        <v>7229.3</v>
      </c>
    </row>
    <row r="168" spans="1:17" s="43" customFormat="1" ht="30" x14ac:dyDescent="0.25">
      <c r="A168" s="41"/>
      <c r="B168" s="41"/>
      <c r="C168" s="229"/>
      <c r="D168" s="232" t="s">
        <v>1126</v>
      </c>
      <c r="E168" s="15" t="s">
        <v>1128</v>
      </c>
      <c r="F168" s="224"/>
      <c r="G168" s="321" t="s">
        <v>483</v>
      </c>
      <c r="H168" s="335">
        <f>SUM(H169)</f>
        <v>15000</v>
      </c>
      <c r="I168" s="335">
        <f t="shared" ref="I168:M168" si="87">SUM(I169)</f>
        <v>15000</v>
      </c>
      <c r="J168" s="335">
        <f t="shared" si="87"/>
        <v>15000</v>
      </c>
      <c r="K168" s="335">
        <f t="shared" si="87"/>
        <v>0</v>
      </c>
      <c r="L168" s="335">
        <f t="shared" si="87"/>
        <v>0</v>
      </c>
      <c r="M168" s="335">
        <f t="shared" si="87"/>
        <v>0</v>
      </c>
    </row>
    <row r="169" spans="1:17" s="43" customFormat="1" ht="81" customHeight="1" x14ac:dyDescent="0.25">
      <c r="A169" s="41"/>
      <c r="B169" s="41"/>
      <c r="C169" s="229"/>
      <c r="D169" s="235" t="s">
        <v>1127</v>
      </c>
      <c r="E169" s="11" t="s">
        <v>1129</v>
      </c>
      <c r="F169" s="274" t="s">
        <v>729</v>
      </c>
      <c r="G169" s="321" t="s">
        <v>484</v>
      </c>
      <c r="H169" s="336">
        <v>15000</v>
      </c>
      <c r="I169" s="336">
        <v>15000</v>
      </c>
      <c r="J169" s="336">
        <f>SUM(H169)</f>
        <v>15000</v>
      </c>
      <c r="K169" s="336">
        <v>0</v>
      </c>
      <c r="L169" s="336">
        <v>0</v>
      </c>
      <c r="M169" s="336">
        <v>0</v>
      </c>
    </row>
    <row r="170" spans="1:17" s="43" customFormat="1" ht="81" customHeight="1" x14ac:dyDescent="0.25">
      <c r="A170" s="41"/>
      <c r="B170" s="41"/>
      <c r="C170" s="229"/>
      <c r="D170" s="232" t="s">
        <v>1215</v>
      </c>
      <c r="E170" s="15" t="s">
        <v>1214</v>
      </c>
      <c r="F170" s="277"/>
      <c r="G170" s="321" t="s">
        <v>485</v>
      </c>
      <c r="H170" s="335">
        <f>SUM(H171)</f>
        <v>0</v>
      </c>
      <c r="I170" s="335">
        <f t="shared" ref="I170:M170" si="88">SUM(I171)</f>
        <v>0</v>
      </c>
      <c r="J170" s="335">
        <f t="shared" si="88"/>
        <v>0</v>
      </c>
      <c r="K170" s="335">
        <f t="shared" si="88"/>
        <v>451.7</v>
      </c>
      <c r="L170" s="335">
        <f t="shared" si="88"/>
        <v>478.1</v>
      </c>
      <c r="M170" s="335">
        <f t="shared" si="88"/>
        <v>499.7</v>
      </c>
    </row>
    <row r="171" spans="1:17" s="43" customFormat="1" ht="81" customHeight="1" x14ac:dyDescent="0.25">
      <c r="A171" s="41"/>
      <c r="B171" s="41"/>
      <c r="C171" s="229"/>
      <c r="D171" s="235" t="s">
        <v>763</v>
      </c>
      <c r="E171" s="11" t="s">
        <v>764</v>
      </c>
      <c r="F171" s="224" t="s">
        <v>1102</v>
      </c>
      <c r="G171" s="321" t="s">
        <v>486</v>
      </c>
      <c r="H171" s="336">
        <v>0</v>
      </c>
      <c r="I171" s="336">
        <v>0</v>
      </c>
      <c r="J171" s="336">
        <v>0</v>
      </c>
      <c r="K171" s="336">
        <v>451.7</v>
      </c>
      <c r="L171" s="336">
        <v>478.1</v>
      </c>
      <c r="M171" s="336">
        <v>499.7</v>
      </c>
    </row>
    <row r="172" spans="1:17" s="43" customFormat="1" x14ac:dyDescent="0.25">
      <c r="A172" s="41"/>
      <c r="B172" s="41"/>
      <c r="C172" s="229"/>
      <c r="D172" s="232" t="s">
        <v>1130</v>
      </c>
      <c r="E172" s="362" t="s">
        <v>1131</v>
      </c>
      <c r="F172" s="224"/>
      <c r="G172" s="321" t="s">
        <v>487</v>
      </c>
      <c r="H172" s="335">
        <f>SUM(H173)</f>
        <v>183.9</v>
      </c>
      <c r="I172" s="335">
        <f t="shared" ref="I172:M172" si="89">SUM(I173)</f>
        <v>183.9</v>
      </c>
      <c r="J172" s="335">
        <f t="shared" si="89"/>
        <v>183.9</v>
      </c>
      <c r="K172" s="335">
        <f t="shared" si="89"/>
        <v>4087.2</v>
      </c>
      <c r="L172" s="335">
        <f t="shared" si="89"/>
        <v>51.3</v>
      </c>
      <c r="M172" s="335">
        <f t="shared" si="89"/>
        <v>52.2</v>
      </c>
    </row>
    <row r="173" spans="1:17" s="43" customFormat="1" ht="75.75" customHeight="1" x14ac:dyDescent="0.25">
      <c r="A173" s="41"/>
      <c r="B173" s="41"/>
      <c r="C173" s="273"/>
      <c r="D173" s="273" t="s">
        <v>727</v>
      </c>
      <c r="E173" s="11" t="s">
        <v>894</v>
      </c>
      <c r="F173" s="274" t="s">
        <v>729</v>
      </c>
      <c r="G173" s="321" t="s">
        <v>499</v>
      </c>
      <c r="H173" s="348">
        <v>183.9</v>
      </c>
      <c r="I173" s="348">
        <v>183.9</v>
      </c>
      <c r="J173" s="348">
        <f>SUM(H173)</f>
        <v>183.9</v>
      </c>
      <c r="K173" s="348">
        <v>4087.2</v>
      </c>
      <c r="L173" s="348">
        <v>51.3</v>
      </c>
      <c r="M173" s="348">
        <v>52.2</v>
      </c>
    </row>
    <row r="174" spans="1:17" s="43" customFormat="1" ht="75.75" customHeight="1" x14ac:dyDescent="0.25">
      <c r="A174" s="41"/>
      <c r="B174" s="41"/>
      <c r="C174" s="273"/>
      <c r="D174" s="232" t="s">
        <v>1132</v>
      </c>
      <c r="E174" s="15" t="s">
        <v>1133</v>
      </c>
      <c r="F174" s="274"/>
      <c r="G174" s="321" t="s">
        <v>500</v>
      </c>
      <c r="H174" s="349">
        <f>SUM(H175)</f>
        <v>5208.3</v>
      </c>
      <c r="I174" s="349">
        <f t="shared" ref="I174:M174" si="90">SUM(I175)</f>
        <v>5208.3</v>
      </c>
      <c r="J174" s="349">
        <f t="shared" si="90"/>
        <v>5208.3</v>
      </c>
      <c r="K174" s="349">
        <f t="shared" si="90"/>
        <v>5319.1</v>
      </c>
      <c r="L174" s="349">
        <f t="shared" si="90"/>
        <v>5376.3</v>
      </c>
      <c r="M174" s="349">
        <f t="shared" si="90"/>
        <v>5434.8</v>
      </c>
    </row>
    <row r="175" spans="1:17" s="43" customFormat="1" ht="90" x14ac:dyDescent="0.25">
      <c r="A175" s="41"/>
      <c r="B175" s="41"/>
      <c r="C175" s="273"/>
      <c r="D175" s="235" t="s">
        <v>835</v>
      </c>
      <c r="E175" s="11" t="s">
        <v>1134</v>
      </c>
      <c r="F175" s="224" t="s">
        <v>1102</v>
      </c>
      <c r="G175" s="321" t="s">
        <v>503</v>
      </c>
      <c r="H175" s="348">
        <v>5208.3</v>
      </c>
      <c r="I175" s="348">
        <v>5208.3</v>
      </c>
      <c r="J175" s="348">
        <f>SUM(H175)</f>
        <v>5208.3</v>
      </c>
      <c r="K175" s="348">
        <v>5319.1</v>
      </c>
      <c r="L175" s="348">
        <v>5376.3</v>
      </c>
      <c r="M175" s="348">
        <v>5434.8</v>
      </c>
    </row>
    <row r="176" spans="1:17" s="43" customFormat="1" ht="45" x14ac:dyDescent="0.25">
      <c r="A176" s="41"/>
      <c r="B176" s="41"/>
      <c r="C176" s="273"/>
      <c r="D176" s="362" t="s">
        <v>1139</v>
      </c>
      <c r="E176" s="15" t="s">
        <v>1135</v>
      </c>
      <c r="F176" s="274"/>
      <c r="G176" s="321" t="s">
        <v>608</v>
      </c>
      <c r="H176" s="349">
        <f>SUM(H177)</f>
        <v>941.1</v>
      </c>
      <c r="I176" s="349">
        <f t="shared" ref="I176:M176" si="91">SUM(I177)</f>
        <v>644.1</v>
      </c>
      <c r="J176" s="349">
        <f t="shared" si="91"/>
        <v>941.1</v>
      </c>
      <c r="K176" s="349">
        <f t="shared" si="91"/>
        <v>0</v>
      </c>
      <c r="L176" s="349">
        <f t="shared" si="91"/>
        <v>0</v>
      </c>
      <c r="M176" s="349">
        <f t="shared" si="91"/>
        <v>0</v>
      </c>
    </row>
    <row r="177" spans="1:15" s="43" customFormat="1" ht="75" x14ac:dyDescent="0.25">
      <c r="A177" s="41"/>
      <c r="B177" s="41"/>
      <c r="C177" s="273"/>
      <c r="D177" s="339" t="s">
        <v>1141</v>
      </c>
      <c r="E177" s="11" t="s">
        <v>1136</v>
      </c>
      <c r="F177" s="274" t="s">
        <v>755</v>
      </c>
      <c r="G177" s="321" t="s">
        <v>609</v>
      </c>
      <c r="H177" s="348">
        <v>941.1</v>
      </c>
      <c r="I177" s="348">
        <v>644.1</v>
      </c>
      <c r="J177" s="348">
        <f>SUM(H177)</f>
        <v>941.1</v>
      </c>
      <c r="K177" s="348">
        <v>0</v>
      </c>
      <c r="L177" s="348">
        <v>0</v>
      </c>
      <c r="M177" s="348">
        <v>0</v>
      </c>
    </row>
    <row r="178" spans="1:15" s="43" customFormat="1" ht="30" x14ac:dyDescent="0.25">
      <c r="A178" s="41"/>
      <c r="B178" s="41"/>
      <c r="C178" s="273"/>
      <c r="D178" s="362" t="s">
        <v>1140</v>
      </c>
      <c r="E178" s="15" t="s">
        <v>1137</v>
      </c>
      <c r="F178" s="274"/>
      <c r="G178" s="321" t="s">
        <v>610</v>
      </c>
      <c r="H178" s="349">
        <f>SUM(H179)</f>
        <v>134661.1</v>
      </c>
      <c r="I178" s="349">
        <f t="shared" ref="I178:M178" si="92">SUM(I179)</f>
        <v>120903.4</v>
      </c>
      <c r="J178" s="349">
        <f t="shared" si="92"/>
        <v>134661.1</v>
      </c>
      <c r="K178" s="349">
        <f t="shared" si="92"/>
        <v>0</v>
      </c>
      <c r="L178" s="349">
        <f t="shared" si="92"/>
        <v>0</v>
      </c>
      <c r="M178" s="349">
        <f t="shared" si="92"/>
        <v>0</v>
      </c>
    </row>
    <row r="179" spans="1:15" s="43" customFormat="1" ht="59.25" customHeight="1" x14ac:dyDescent="0.25">
      <c r="A179" s="41"/>
      <c r="B179" s="41"/>
      <c r="C179" s="273"/>
      <c r="D179" s="339" t="s">
        <v>1008</v>
      </c>
      <c r="E179" s="11" t="s">
        <v>1138</v>
      </c>
      <c r="F179" s="274" t="s">
        <v>732</v>
      </c>
      <c r="G179" s="321" t="s">
        <v>611</v>
      </c>
      <c r="H179" s="348">
        <v>134661.1</v>
      </c>
      <c r="I179" s="348">
        <v>120903.4</v>
      </c>
      <c r="J179" s="348">
        <f>SUM(H179)</f>
        <v>134661.1</v>
      </c>
      <c r="K179" s="348">
        <v>0</v>
      </c>
      <c r="L179" s="348">
        <v>0</v>
      </c>
      <c r="M179" s="348">
        <v>0</v>
      </c>
    </row>
    <row r="180" spans="1:15" s="43" customFormat="1" x14ac:dyDescent="0.25">
      <c r="A180" s="41"/>
      <c r="B180" s="41"/>
      <c r="C180" s="276" t="s">
        <v>492</v>
      </c>
      <c r="D180" s="276" t="s">
        <v>879</v>
      </c>
      <c r="E180" s="276" t="s">
        <v>492</v>
      </c>
      <c r="F180" s="277"/>
      <c r="G180" s="321" t="s">
        <v>612</v>
      </c>
      <c r="H180" s="349">
        <f t="shared" ref="H180:M180" si="93">SUM(H181:H197)</f>
        <v>214276.5</v>
      </c>
      <c r="I180" s="350">
        <f t="shared" si="93"/>
        <v>63323.700000000004</v>
      </c>
      <c r="J180" s="349">
        <f t="shared" si="93"/>
        <v>214276.5</v>
      </c>
      <c r="K180" s="349">
        <f t="shared" si="93"/>
        <v>23376.799999999999</v>
      </c>
      <c r="L180" s="349">
        <f t="shared" si="93"/>
        <v>44558.3</v>
      </c>
      <c r="M180" s="349">
        <f t="shared" si="93"/>
        <v>212735.1</v>
      </c>
    </row>
    <row r="181" spans="1:15" s="43" customFormat="1" ht="90" x14ac:dyDescent="0.25">
      <c r="A181" s="41"/>
      <c r="B181" s="41"/>
      <c r="C181" s="276"/>
      <c r="D181" s="273" t="s">
        <v>1148</v>
      </c>
      <c r="E181" s="300" t="s">
        <v>570</v>
      </c>
      <c r="F181" s="224" t="s">
        <v>829</v>
      </c>
      <c r="G181" s="321" t="s">
        <v>613</v>
      </c>
      <c r="H181" s="351">
        <v>24958</v>
      </c>
      <c r="I181" s="351">
        <v>24326.6</v>
      </c>
      <c r="J181" s="348">
        <f>SUM(H181)</f>
        <v>24958</v>
      </c>
      <c r="K181" s="348">
        <v>0</v>
      </c>
      <c r="L181" s="348">
        <v>0</v>
      </c>
      <c r="M181" s="348">
        <v>0</v>
      </c>
    </row>
    <row r="182" spans="1:15" s="43" customFormat="1" ht="90" x14ac:dyDescent="0.25">
      <c r="A182" s="41"/>
      <c r="B182" s="41"/>
      <c r="C182" s="276"/>
      <c r="D182" s="273" t="s">
        <v>1148</v>
      </c>
      <c r="E182" s="300" t="s">
        <v>1218</v>
      </c>
      <c r="F182" s="224" t="s">
        <v>829</v>
      </c>
      <c r="G182" s="321" t="s">
        <v>614</v>
      </c>
      <c r="H182" s="351">
        <v>0</v>
      </c>
      <c r="I182" s="351">
        <v>0</v>
      </c>
      <c r="J182" s="348">
        <v>0</v>
      </c>
      <c r="K182" s="348">
        <v>0</v>
      </c>
      <c r="L182" s="348">
        <v>5544</v>
      </c>
      <c r="M182" s="348">
        <v>0</v>
      </c>
    </row>
    <row r="183" spans="1:15" s="43" customFormat="1" ht="90" x14ac:dyDescent="0.25">
      <c r="A183" s="41"/>
      <c r="B183" s="41"/>
      <c r="C183" s="276"/>
      <c r="D183" s="273" t="s">
        <v>1148</v>
      </c>
      <c r="E183" s="300" t="s">
        <v>768</v>
      </c>
      <c r="F183" s="224" t="s">
        <v>829</v>
      </c>
      <c r="G183" s="321" t="s">
        <v>615</v>
      </c>
      <c r="H183" s="351">
        <v>2456.9</v>
      </c>
      <c r="I183" s="351">
        <v>1577.7</v>
      </c>
      <c r="J183" s="348">
        <f t="shared" ref="J183:J197" si="94">SUM(H183)</f>
        <v>2456.9</v>
      </c>
      <c r="K183" s="348">
        <v>1049.0999999999999</v>
      </c>
      <c r="L183" s="348">
        <v>1432</v>
      </c>
      <c r="M183" s="348">
        <v>1432</v>
      </c>
    </row>
    <row r="184" spans="1:15" s="43" customFormat="1" ht="90" x14ac:dyDescent="0.25">
      <c r="A184" s="41"/>
      <c r="B184" s="41"/>
      <c r="C184" s="276"/>
      <c r="D184" s="273" t="s">
        <v>1148</v>
      </c>
      <c r="E184" s="300" t="s">
        <v>389</v>
      </c>
      <c r="F184" s="224" t="s">
        <v>829</v>
      </c>
      <c r="G184" s="321" t="s">
        <v>616</v>
      </c>
      <c r="H184" s="351">
        <v>400</v>
      </c>
      <c r="I184" s="351">
        <v>400</v>
      </c>
      <c r="J184" s="348">
        <f t="shared" si="94"/>
        <v>400</v>
      </c>
      <c r="K184" s="348">
        <v>0</v>
      </c>
      <c r="L184" s="348">
        <v>0</v>
      </c>
      <c r="M184" s="348">
        <v>0</v>
      </c>
    </row>
    <row r="185" spans="1:15" s="43" customFormat="1" ht="75" x14ac:dyDescent="0.25">
      <c r="A185" s="41"/>
      <c r="B185" s="41"/>
      <c r="C185" s="276"/>
      <c r="D185" s="273" t="s">
        <v>735</v>
      </c>
      <c r="E185" s="300" t="s">
        <v>1142</v>
      </c>
      <c r="F185" s="274" t="s">
        <v>732</v>
      </c>
      <c r="G185" s="321" t="s">
        <v>617</v>
      </c>
      <c r="H185" s="351">
        <v>4564.3</v>
      </c>
      <c r="I185" s="351">
        <v>4394.3</v>
      </c>
      <c r="J185" s="348">
        <f t="shared" si="94"/>
        <v>4564.3</v>
      </c>
      <c r="K185" s="348">
        <v>1042.9000000000001</v>
      </c>
      <c r="L185" s="348">
        <v>2828.3</v>
      </c>
      <c r="M185" s="348">
        <v>2945.4</v>
      </c>
    </row>
    <row r="186" spans="1:15" s="43" customFormat="1" ht="90" x14ac:dyDescent="0.25">
      <c r="A186" s="41"/>
      <c r="B186" s="41"/>
      <c r="C186" s="276"/>
      <c r="D186" s="273" t="s">
        <v>735</v>
      </c>
      <c r="E186" s="303" t="s">
        <v>1143</v>
      </c>
      <c r="F186" s="274" t="s">
        <v>732</v>
      </c>
      <c r="G186" s="321" t="s">
        <v>618</v>
      </c>
      <c r="H186" s="351">
        <v>2503.6999999999998</v>
      </c>
      <c r="I186" s="351">
        <v>2140.1999999999998</v>
      </c>
      <c r="J186" s="348">
        <f t="shared" si="94"/>
        <v>2503.6999999999998</v>
      </c>
      <c r="K186" s="348">
        <v>3438.4</v>
      </c>
      <c r="L186" s="348">
        <v>3453.4</v>
      </c>
      <c r="M186" s="348">
        <v>3596.4</v>
      </c>
    </row>
    <row r="187" spans="1:15" s="43" customFormat="1" ht="75" x14ac:dyDescent="0.25">
      <c r="A187" s="41"/>
      <c r="B187" s="41"/>
      <c r="C187" s="276"/>
      <c r="D187" s="273" t="s">
        <v>735</v>
      </c>
      <c r="E187" s="300" t="s">
        <v>569</v>
      </c>
      <c r="F187" s="274" t="s">
        <v>732</v>
      </c>
      <c r="G187" s="321" t="s">
        <v>619</v>
      </c>
      <c r="H187" s="351">
        <v>2366.1999999999998</v>
      </c>
      <c r="I187" s="351">
        <v>1550</v>
      </c>
      <c r="J187" s="348">
        <f t="shared" si="94"/>
        <v>2366.1999999999998</v>
      </c>
      <c r="K187" s="348">
        <v>2121.5</v>
      </c>
      <c r="L187" s="348">
        <v>2081.8000000000002</v>
      </c>
      <c r="M187" s="348">
        <v>2073.1999999999998</v>
      </c>
    </row>
    <row r="188" spans="1:15" s="43" customFormat="1" ht="75" x14ac:dyDescent="0.25">
      <c r="A188" s="41"/>
      <c r="B188" s="41"/>
      <c r="C188" s="276"/>
      <c r="D188" s="273" t="s">
        <v>735</v>
      </c>
      <c r="E188" s="300" t="s">
        <v>1009</v>
      </c>
      <c r="F188" s="274" t="s">
        <v>732</v>
      </c>
      <c r="G188" s="321" t="s">
        <v>620</v>
      </c>
      <c r="H188" s="351">
        <v>119805.9</v>
      </c>
      <c r="I188" s="351">
        <v>0</v>
      </c>
      <c r="J188" s="348">
        <f t="shared" si="94"/>
        <v>119805.9</v>
      </c>
      <c r="K188" s="348">
        <v>0</v>
      </c>
      <c r="L188" s="348">
        <v>0</v>
      </c>
      <c r="M188" s="348">
        <v>0</v>
      </c>
    </row>
    <row r="189" spans="1:15" s="43" customFormat="1" ht="75" x14ac:dyDescent="0.25">
      <c r="A189" s="41"/>
      <c r="B189" s="41"/>
      <c r="C189" s="276"/>
      <c r="D189" s="273" t="s">
        <v>916</v>
      </c>
      <c r="E189" s="300" t="s">
        <v>1144</v>
      </c>
      <c r="F189" s="274" t="s">
        <v>755</v>
      </c>
      <c r="G189" s="321" t="s">
        <v>621</v>
      </c>
      <c r="H189" s="351">
        <v>4699</v>
      </c>
      <c r="I189" s="351">
        <v>4699</v>
      </c>
      <c r="J189" s="348">
        <f t="shared" si="94"/>
        <v>4699</v>
      </c>
      <c r="K189" s="348">
        <v>0</v>
      </c>
      <c r="L189" s="348">
        <v>0</v>
      </c>
      <c r="M189" s="348">
        <v>0</v>
      </c>
    </row>
    <row r="190" spans="1:15" s="43" customFormat="1" ht="78.75" customHeight="1" x14ac:dyDescent="0.25">
      <c r="A190" s="41"/>
      <c r="B190" s="41"/>
      <c r="C190" s="276"/>
      <c r="D190" s="273" t="s">
        <v>767</v>
      </c>
      <c r="E190" s="300" t="s">
        <v>1145</v>
      </c>
      <c r="F190" s="224" t="s">
        <v>1102</v>
      </c>
      <c r="G190" s="321" t="s">
        <v>622</v>
      </c>
      <c r="H190" s="351">
        <v>298.89999999999998</v>
      </c>
      <c r="I190" s="351">
        <v>298.89999999999998</v>
      </c>
      <c r="J190" s="348">
        <f t="shared" si="94"/>
        <v>298.89999999999998</v>
      </c>
      <c r="K190" s="348">
        <v>0</v>
      </c>
      <c r="L190" s="348">
        <v>0</v>
      </c>
      <c r="M190" s="348">
        <v>1411.2</v>
      </c>
    </row>
    <row r="191" spans="1:15" s="43" customFormat="1" ht="78.75" customHeight="1" x14ac:dyDescent="0.25">
      <c r="A191" s="41"/>
      <c r="B191" s="41"/>
      <c r="C191" s="276"/>
      <c r="D191" s="273" t="s">
        <v>767</v>
      </c>
      <c r="E191" s="300" t="s">
        <v>497</v>
      </c>
      <c r="F191" s="224" t="s">
        <v>1102</v>
      </c>
      <c r="G191" s="321" t="s">
        <v>623</v>
      </c>
      <c r="H191" s="351">
        <v>5229.3999999999996</v>
      </c>
      <c r="I191" s="351">
        <v>721.5</v>
      </c>
      <c r="J191" s="348">
        <f t="shared" si="94"/>
        <v>5229.3999999999996</v>
      </c>
      <c r="K191" s="348">
        <v>5556</v>
      </c>
      <c r="L191" s="348">
        <v>5556</v>
      </c>
      <c r="M191" s="348">
        <v>175000</v>
      </c>
      <c r="N191" s="220"/>
      <c r="O191" s="220"/>
    </row>
    <row r="192" spans="1:15" s="43" customFormat="1" ht="78.75" customHeight="1" x14ac:dyDescent="0.25">
      <c r="A192" s="41"/>
      <c r="B192" s="41"/>
      <c r="C192" s="276"/>
      <c r="D192" s="273" t="s">
        <v>767</v>
      </c>
      <c r="E192" s="300" t="s">
        <v>390</v>
      </c>
      <c r="F192" s="224" t="s">
        <v>1102</v>
      </c>
      <c r="G192" s="321" t="s">
        <v>624</v>
      </c>
      <c r="H192" s="351">
        <v>9854.1</v>
      </c>
      <c r="I192" s="351">
        <v>9162.7999999999993</v>
      </c>
      <c r="J192" s="348">
        <f t="shared" si="94"/>
        <v>9854.1</v>
      </c>
      <c r="K192" s="348">
        <v>0</v>
      </c>
      <c r="L192" s="348">
        <v>11755.9</v>
      </c>
      <c r="M192" s="348">
        <v>12052.6</v>
      </c>
    </row>
    <row r="193" spans="1:17" s="43" customFormat="1" ht="90" x14ac:dyDescent="0.25">
      <c r="A193" s="41"/>
      <c r="B193" s="41"/>
      <c r="C193" s="273"/>
      <c r="D193" s="273" t="s">
        <v>767</v>
      </c>
      <c r="E193" s="300" t="s">
        <v>1013</v>
      </c>
      <c r="F193" s="224" t="s">
        <v>1102</v>
      </c>
      <c r="G193" s="321" t="s">
        <v>625</v>
      </c>
      <c r="H193" s="351">
        <v>7748.6</v>
      </c>
      <c r="I193" s="351">
        <v>3861.3</v>
      </c>
      <c r="J193" s="348">
        <f t="shared" si="94"/>
        <v>7748.6</v>
      </c>
      <c r="K193" s="348">
        <v>0</v>
      </c>
      <c r="L193" s="348">
        <v>0</v>
      </c>
      <c r="M193" s="348">
        <v>0</v>
      </c>
    </row>
    <row r="194" spans="1:17" s="43" customFormat="1" ht="57" customHeight="1" x14ac:dyDescent="0.25">
      <c r="A194" s="41"/>
      <c r="B194" s="41"/>
      <c r="C194" s="273"/>
      <c r="D194" s="273" t="s">
        <v>767</v>
      </c>
      <c r="E194" s="300" t="s">
        <v>1146</v>
      </c>
      <c r="F194" s="224" t="s">
        <v>1102</v>
      </c>
      <c r="G194" s="321" t="s">
        <v>626</v>
      </c>
      <c r="H194" s="351">
        <v>26524.5</v>
      </c>
      <c r="I194" s="351">
        <v>7837.4</v>
      </c>
      <c r="J194" s="348">
        <f t="shared" si="94"/>
        <v>26524.5</v>
      </c>
      <c r="K194" s="348">
        <v>0</v>
      </c>
      <c r="L194" s="348">
        <v>0</v>
      </c>
      <c r="M194" s="348">
        <v>0</v>
      </c>
    </row>
    <row r="195" spans="1:17" s="43" customFormat="1" ht="57" customHeight="1" x14ac:dyDescent="0.25">
      <c r="A195" s="41"/>
      <c r="B195" s="41"/>
      <c r="C195" s="273"/>
      <c r="D195" s="273" t="s">
        <v>767</v>
      </c>
      <c r="E195" s="300" t="s">
        <v>1216</v>
      </c>
      <c r="F195" s="224" t="s">
        <v>1102</v>
      </c>
      <c r="G195" s="321" t="s">
        <v>627</v>
      </c>
      <c r="H195" s="351">
        <v>0</v>
      </c>
      <c r="I195" s="351">
        <v>0</v>
      </c>
      <c r="J195" s="348">
        <f t="shared" si="94"/>
        <v>0</v>
      </c>
      <c r="K195" s="348">
        <v>0</v>
      </c>
      <c r="L195" s="348">
        <v>1738</v>
      </c>
      <c r="M195" s="348">
        <v>4055.4</v>
      </c>
    </row>
    <row r="196" spans="1:17" s="43" customFormat="1" ht="57" customHeight="1" x14ac:dyDescent="0.25">
      <c r="A196" s="41"/>
      <c r="B196" s="41"/>
      <c r="C196" s="273"/>
      <c r="D196" s="273" t="s">
        <v>771</v>
      </c>
      <c r="E196" s="300" t="s">
        <v>1217</v>
      </c>
      <c r="F196" s="274" t="s">
        <v>770</v>
      </c>
      <c r="G196" s="321" t="s">
        <v>628</v>
      </c>
      <c r="H196" s="351">
        <v>0</v>
      </c>
      <c r="I196" s="351">
        <v>0</v>
      </c>
      <c r="J196" s="348">
        <f t="shared" si="94"/>
        <v>0</v>
      </c>
      <c r="K196" s="348">
        <v>7442.1</v>
      </c>
      <c r="L196" s="348">
        <v>7442.1</v>
      </c>
      <c r="M196" s="348">
        <v>7442.1</v>
      </c>
    </row>
    <row r="197" spans="1:17" s="43" customFormat="1" ht="60" x14ac:dyDescent="0.25">
      <c r="A197" s="41"/>
      <c r="B197" s="41"/>
      <c r="C197" s="273"/>
      <c r="D197" s="273" t="s">
        <v>771</v>
      </c>
      <c r="E197" s="300" t="s">
        <v>1147</v>
      </c>
      <c r="F197" s="274" t="s">
        <v>770</v>
      </c>
      <c r="G197" s="321" t="s">
        <v>629</v>
      </c>
      <c r="H197" s="351">
        <v>2867</v>
      </c>
      <c r="I197" s="351">
        <v>2354</v>
      </c>
      <c r="J197" s="348">
        <f t="shared" si="94"/>
        <v>2867</v>
      </c>
      <c r="K197" s="348">
        <v>2726.8</v>
      </c>
      <c r="L197" s="348">
        <v>2726.8</v>
      </c>
      <c r="M197" s="348">
        <v>2726.8</v>
      </c>
    </row>
    <row r="198" spans="1:17" s="43" customFormat="1" ht="29.25" x14ac:dyDescent="0.25">
      <c r="A198" s="41"/>
      <c r="B198" s="41"/>
      <c r="C198" s="136" t="s">
        <v>227</v>
      </c>
      <c r="D198" s="136" t="s">
        <v>264</v>
      </c>
      <c r="E198" s="136" t="s">
        <v>227</v>
      </c>
      <c r="F198" s="137"/>
      <c r="G198" s="319" t="s">
        <v>630</v>
      </c>
      <c r="H198" s="352">
        <f t="shared" ref="H198:M198" si="95">SUM(H199+H214+H216+H218+H220+H222+H224)</f>
        <v>445435.4</v>
      </c>
      <c r="I198" s="352">
        <f t="shared" si="95"/>
        <v>390455.49999999994</v>
      </c>
      <c r="J198" s="352">
        <f t="shared" si="95"/>
        <v>445435.4</v>
      </c>
      <c r="K198" s="352">
        <f t="shared" si="95"/>
        <v>388569.60000000009</v>
      </c>
      <c r="L198" s="352">
        <f t="shared" si="95"/>
        <v>390236.30000000005</v>
      </c>
      <c r="M198" s="352">
        <f t="shared" si="95"/>
        <v>404339.19999999995</v>
      </c>
      <c r="P198" s="219"/>
      <c r="Q198" s="219"/>
    </row>
    <row r="199" spans="1:17" s="43" customFormat="1" ht="45" x14ac:dyDescent="0.25">
      <c r="A199" s="41"/>
      <c r="B199" s="41"/>
      <c r="C199" s="53"/>
      <c r="D199" s="53" t="s">
        <v>747</v>
      </c>
      <c r="E199" s="53" t="s">
        <v>748</v>
      </c>
      <c r="F199" s="54"/>
      <c r="G199" s="321" t="s">
        <v>631</v>
      </c>
      <c r="H199" s="353">
        <f>SUM(H200)</f>
        <v>385797.2</v>
      </c>
      <c r="I199" s="349">
        <f t="shared" ref="I199:M199" si="96">SUM(I200)</f>
        <v>336498.2</v>
      </c>
      <c r="J199" s="353">
        <f t="shared" si="96"/>
        <v>385797.2</v>
      </c>
      <c r="K199" s="353">
        <f t="shared" si="96"/>
        <v>328034.40000000002</v>
      </c>
      <c r="L199" s="353">
        <f t="shared" si="96"/>
        <v>329567.40000000002</v>
      </c>
      <c r="M199" s="353">
        <f t="shared" si="96"/>
        <v>343159.29999999993</v>
      </c>
      <c r="O199" s="219"/>
      <c r="P199" s="219"/>
      <c r="Q199" s="219"/>
    </row>
    <row r="200" spans="1:17" s="43" customFormat="1" ht="45" x14ac:dyDescent="0.25">
      <c r="A200" s="41"/>
      <c r="B200" s="41"/>
      <c r="C200" s="53"/>
      <c r="D200" s="53" t="s">
        <v>1149</v>
      </c>
      <c r="E200" s="15" t="s">
        <v>1150</v>
      </c>
      <c r="F200" s="54"/>
      <c r="G200" s="321" t="s">
        <v>632</v>
      </c>
      <c r="H200" s="353">
        <f>SUM(H201:H213)</f>
        <v>385797.2</v>
      </c>
      <c r="I200" s="353">
        <f t="shared" ref="I200:M200" si="97">SUM(I201:I213)</f>
        <v>336498.2</v>
      </c>
      <c r="J200" s="353">
        <f t="shared" si="97"/>
        <v>385797.2</v>
      </c>
      <c r="K200" s="353">
        <f t="shared" si="97"/>
        <v>328034.40000000002</v>
      </c>
      <c r="L200" s="353">
        <f t="shared" si="97"/>
        <v>329567.40000000002</v>
      </c>
      <c r="M200" s="353">
        <f t="shared" si="97"/>
        <v>343159.29999999993</v>
      </c>
    </row>
    <row r="201" spans="1:17" s="43" customFormat="1" ht="75" x14ac:dyDescent="0.25">
      <c r="A201" s="41"/>
      <c r="B201" s="41"/>
      <c r="C201" s="35"/>
      <c r="D201" s="273" t="s">
        <v>746</v>
      </c>
      <c r="E201" s="300" t="s">
        <v>1154</v>
      </c>
      <c r="F201" s="274" t="s">
        <v>732</v>
      </c>
      <c r="G201" s="321" t="s">
        <v>633</v>
      </c>
      <c r="H201" s="351">
        <v>781.2</v>
      </c>
      <c r="I201" s="367">
        <v>609</v>
      </c>
      <c r="J201" s="354">
        <f>SUM(H201)</f>
        <v>781.2</v>
      </c>
      <c r="K201" s="348">
        <v>833.3</v>
      </c>
      <c r="L201" s="348">
        <v>937.4</v>
      </c>
      <c r="M201" s="348">
        <v>937.4</v>
      </c>
      <c r="N201" s="217"/>
      <c r="O201" s="217"/>
    </row>
    <row r="202" spans="1:17" s="43" customFormat="1" ht="120" x14ac:dyDescent="0.25">
      <c r="A202" s="41"/>
      <c r="B202" s="41"/>
      <c r="C202" s="35"/>
      <c r="D202" s="273" t="s">
        <v>746</v>
      </c>
      <c r="E202" s="303" t="s">
        <v>397</v>
      </c>
      <c r="F202" s="274" t="s">
        <v>732</v>
      </c>
      <c r="G202" s="321" t="s">
        <v>634</v>
      </c>
      <c r="H202" s="351">
        <v>1121.5</v>
      </c>
      <c r="I202" s="367">
        <v>1121.5</v>
      </c>
      <c r="J202" s="354">
        <f t="shared" ref="J202:J211" si="98">SUM(H202)</f>
        <v>1121.5</v>
      </c>
      <c r="K202" s="355">
        <v>998.2</v>
      </c>
      <c r="L202" s="355">
        <v>1002.5</v>
      </c>
      <c r="M202" s="355">
        <v>1044</v>
      </c>
      <c r="N202" s="142"/>
    </row>
    <row r="203" spans="1:17" s="43" customFormat="1" ht="75" x14ac:dyDescent="0.25">
      <c r="A203" s="41"/>
      <c r="B203" s="41"/>
      <c r="C203" s="35"/>
      <c r="D203" s="273" t="s">
        <v>746</v>
      </c>
      <c r="E203" s="300" t="s">
        <v>399</v>
      </c>
      <c r="F203" s="274" t="s">
        <v>318</v>
      </c>
      <c r="G203" s="321" t="s">
        <v>635</v>
      </c>
      <c r="H203" s="351">
        <v>377991.1</v>
      </c>
      <c r="I203" s="367">
        <v>329167.2</v>
      </c>
      <c r="J203" s="354">
        <f t="shared" si="98"/>
        <v>377991.1</v>
      </c>
      <c r="K203" s="355">
        <v>323287</v>
      </c>
      <c r="L203" s="355">
        <v>324701.8</v>
      </c>
      <c r="M203" s="355">
        <v>338142.6</v>
      </c>
      <c r="N203" s="295"/>
      <c r="O203" s="295"/>
      <c r="P203" s="295"/>
    </row>
    <row r="204" spans="1:17" s="43" customFormat="1" ht="135" x14ac:dyDescent="0.25">
      <c r="A204" s="41"/>
      <c r="B204" s="41"/>
      <c r="C204" s="35"/>
      <c r="D204" s="273" t="s">
        <v>746</v>
      </c>
      <c r="E204" s="303" t="s">
        <v>400</v>
      </c>
      <c r="F204" s="274" t="s">
        <v>732</v>
      </c>
      <c r="G204" s="321" t="s">
        <v>636</v>
      </c>
      <c r="H204" s="351">
        <v>100</v>
      </c>
      <c r="I204" s="366">
        <v>100</v>
      </c>
      <c r="J204" s="354">
        <f t="shared" si="98"/>
        <v>100</v>
      </c>
      <c r="K204" s="355">
        <v>429.9</v>
      </c>
      <c r="L204" s="355">
        <v>431.7</v>
      </c>
      <c r="M204" s="355">
        <v>449.6</v>
      </c>
      <c r="N204" s="142"/>
    </row>
    <row r="205" spans="1:17" s="43" customFormat="1" ht="105" x14ac:dyDescent="0.25">
      <c r="A205" s="41"/>
      <c r="B205" s="41"/>
      <c r="C205" s="35"/>
      <c r="D205" s="273" t="s">
        <v>746</v>
      </c>
      <c r="E205" s="303" t="s">
        <v>749</v>
      </c>
      <c r="F205" s="274" t="s">
        <v>732</v>
      </c>
      <c r="G205" s="321" t="s">
        <v>637</v>
      </c>
      <c r="H205" s="351">
        <v>1016.7</v>
      </c>
      <c r="I205" s="366">
        <v>1016.7</v>
      </c>
      <c r="J205" s="354">
        <f t="shared" si="98"/>
        <v>1016.7</v>
      </c>
      <c r="K205" s="355">
        <v>959.5</v>
      </c>
      <c r="L205" s="355">
        <v>963.7</v>
      </c>
      <c r="M205" s="355">
        <v>1003.6</v>
      </c>
      <c r="N205" s="142"/>
    </row>
    <row r="206" spans="1:17" s="43" customFormat="1" ht="90" x14ac:dyDescent="0.25">
      <c r="A206" s="41"/>
      <c r="B206" s="41"/>
      <c r="C206" s="35"/>
      <c r="D206" s="273" t="s">
        <v>746</v>
      </c>
      <c r="E206" s="330" t="s">
        <v>403</v>
      </c>
      <c r="F206" s="274" t="s">
        <v>732</v>
      </c>
      <c r="G206" s="321" t="s">
        <v>638</v>
      </c>
      <c r="H206" s="351">
        <v>761.6</v>
      </c>
      <c r="I206" s="366">
        <v>761.6</v>
      </c>
      <c r="J206" s="354">
        <f t="shared" si="98"/>
        <v>761.6</v>
      </c>
      <c r="K206" s="355">
        <v>878</v>
      </c>
      <c r="L206" s="355">
        <v>881.8</v>
      </c>
      <c r="M206" s="355">
        <v>918.3</v>
      </c>
      <c r="N206" s="142"/>
    </row>
    <row r="207" spans="1:17" s="43" customFormat="1" ht="75" x14ac:dyDescent="0.25">
      <c r="A207" s="41"/>
      <c r="B207" s="41"/>
      <c r="C207" s="35"/>
      <c r="D207" s="273" t="s">
        <v>754</v>
      </c>
      <c r="E207" s="300" t="s">
        <v>1151</v>
      </c>
      <c r="F207" s="274" t="s">
        <v>755</v>
      </c>
      <c r="G207" s="321" t="s">
        <v>639</v>
      </c>
      <c r="H207" s="351">
        <v>2640</v>
      </c>
      <c r="I207" s="366">
        <v>2640</v>
      </c>
      <c r="J207" s="354">
        <f t="shared" si="98"/>
        <v>2640</v>
      </c>
      <c r="K207" s="355">
        <v>0</v>
      </c>
      <c r="L207" s="355">
        <v>0</v>
      </c>
      <c r="M207" s="355">
        <v>0</v>
      </c>
      <c r="N207" s="142"/>
    </row>
    <row r="208" spans="1:17" s="43" customFormat="1" ht="75" x14ac:dyDescent="0.25">
      <c r="A208" s="41"/>
      <c r="B208" s="41"/>
      <c r="C208" s="35"/>
      <c r="D208" s="273" t="s">
        <v>754</v>
      </c>
      <c r="E208" s="300" t="s">
        <v>1204</v>
      </c>
      <c r="F208" s="274" t="s">
        <v>755</v>
      </c>
      <c r="G208" s="321" t="s">
        <v>640</v>
      </c>
      <c r="H208" s="351">
        <v>393.9</v>
      </c>
      <c r="I208" s="366">
        <v>91</v>
      </c>
      <c r="J208" s="354">
        <f t="shared" si="98"/>
        <v>393.9</v>
      </c>
      <c r="K208" s="355">
        <v>0</v>
      </c>
      <c r="L208" s="355">
        <v>0</v>
      </c>
      <c r="M208" s="355">
        <v>0</v>
      </c>
      <c r="N208" s="142"/>
    </row>
    <row r="209" spans="1:14" s="43" customFormat="1" ht="75" x14ac:dyDescent="0.25">
      <c r="A209" s="41"/>
      <c r="B209" s="41"/>
      <c r="C209" s="35"/>
      <c r="D209" s="273" t="s">
        <v>754</v>
      </c>
      <c r="E209" s="300" t="s">
        <v>1205</v>
      </c>
      <c r="F209" s="274" t="s">
        <v>755</v>
      </c>
      <c r="G209" s="321" t="s">
        <v>641</v>
      </c>
      <c r="H209" s="351">
        <v>762</v>
      </c>
      <c r="I209" s="366">
        <v>762</v>
      </c>
      <c r="J209" s="354">
        <f t="shared" si="98"/>
        <v>762</v>
      </c>
      <c r="K209" s="355">
        <v>0</v>
      </c>
      <c r="L209" s="355">
        <v>0</v>
      </c>
      <c r="M209" s="355">
        <v>0</v>
      </c>
      <c r="N209" s="142"/>
    </row>
    <row r="210" spans="1:14" s="43" customFormat="1" ht="75" x14ac:dyDescent="0.25">
      <c r="A210" s="41"/>
      <c r="B210" s="41"/>
      <c r="C210" s="35"/>
      <c r="D210" s="273" t="s">
        <v>754</v>
      </c>
      <c r="E210" s="300" t="s">
        <v>1152</v>
      </c>
      <c r="F210" s="274" t="s">
        <v>755</v>
      </c>
      <c r="G210" s="321" t="s">
        <v>642</v>
      </c>
      <c r="H210" s="351">
        <v>168.7</v>
      </c>
      <c r="I210" s="366">
        <v>168.7</v>
      </c>
      <c r="J210" s="354">
        <f t="shared" si="98"/>
        <v>168.7</v>
      </c>
      <c r="K210" s="355">
        <v>214.3</v>
      </c>
      <c r="L210" s="355">
        <v>214.3</v>
      </c>
      <c r="M210" s="355">
        <v>229.6</v>
      </c>
      <c r="N210" s="142"/>
    </row>
    <row r="211" spans="1:14" s="43" customFormat="1" ht="75" x14ac:dyDescent="0.25">
      <c r="A211" s="41"/>
      <c r="B211" s="41"/>
      <c r="C211" s="35"/>
      <c r="D211" s="273" t="s">
        <v>754</v>
      </c>
      <c r="E211" s="300" t="s">
        <v>1153</v>
      </c>
      <c r="F211" s="274" t="s">
        <v>755</v>
      </c>
      <c r="G211" s="321" t="s">
        <v>643</v>
      </c>
      <c r="H211" s="351">
        <v>60.5</v>
      </c>
      <c r="I211" s="366">
        <v>60.5</v>
      </c>
      <c r="J211" s="354">
        <f t="shared" si="98"/>
        <v>60.5</v>
      </c>
      <c r="K211" s="355">
        <v>0</v>
      </c>
      <c r="L211" s="355">
        <v>0</v>
      </c>
      <c r="M211" s="355">
        <v>0</v>
      </c>
      <c r="N211" s="142"/>
    </row>
    <row r="212" spans="1:14" s="43" customFormat="1" ht="90" x14ac:dyDescent="0.25">
      <c r="A212" s="41"/>
      <c r="B212" s="41"/>
      <c r="C212" s="35"/>
      <c r="D212" s="273" t="s">
        <v>779</v>
      </c>
      <c r="E212" s="374" t="s">
        <v>1219</v>
      </c>
      <c r="F212" s="274" t="s">
        <v>1102</v>
      </c>
      <c r="G212" s="321" t="s">
        <v>644</v>
      </c>
      <c r="H212" s="351">
        <v>0</v>
      </c>
      <c r="I212" s="366">
        <v>0</v>
      </c>
      <c r="J212" s="354">
        <v>0</v>
      </c>
      <c r="K212" s="355">
        <v>40.5</v>
      </c>
      <c r="L212" s="355">
        <v>40.5</v>
      </c>
      <c r="M212" s="355">
        <v>40.5</v>
      </c>
      <c r="N212" s="142"/>
    </row>
    <row r="213" spans="1:14" s="43" customFormat="1" ht="105" x14ac:dyDescent="0.25">
      <c r="A213" s="41"/>
      <c r="B213" s="41"/>
      <c r="C213" s="35"/>
      <c r="D213" s="273" t="s">
        <v>779</v>
      </c>
      <c r="E213" s="374" t="s">
        <v>572</v>
      </c>
      <c r="F213" s="274" t="s">
        <v>1102</v>
      </c>
      <c r="G213" s="321" t="s">
        <v>645</v>
      </c>
      <c r="H213" s="351">
        <v>0</v>
      </c>
      <c r="I213" s="366">
        <v>0</v>
      </c>
      <c r="J213" s="354">
        <v>0</v>
      </c>
      <c r="K213" s="355">
        <v>393.7</v>
      </c>
      <c r="L213" s="355">
        <v>393.7</v>
      </c>
      <c r="M213" s="355">
        <v>393.7</v>
      </c>
      <c r="N213" s="142"/>
    </row>
    <row r="214" spans="1:14" s="43" customFormat="1" ht="75" x14ac:dyDescent="0.25">
      <c r="A214" s="41"/>
      <c r="B214" s="41"/>
      <c r="C214" s="35"/>
      <c r="D214" s="53" t="s">
        <v>1156</v>
      </c>
      <c r="E214" s="15" t="s">
        <v>1005</v>
      </c>
      <c r="F214" s="277"/>
      <c r="G214" s="321" t="s">
        <v>1220</v>
      </c>
      <c r="H214" s="356">
        <f>SUM(H215)</f>
        <v>2304.4</v>
      </c>
      <c r="I214" s="356">
        <f t="shared" ref="I214:M214" si="99">SUM(I215)</f>
        <v>1798.3</v>
      </c>
      <c r="J214" s="356">
        <f t="shared" si="99"/>
        <v>2304.4</v>
      </c>
      <c r="K214" s="356">
        <f t="shared" si="99"/>
        <v>1694.7</v>
      </c>
      <c r="L214" s="356">
        <f t="shared" si="99"/>
        <v>1694.7</v>
      </c>
      <c r="M214" s="356">
        <f t="shared" si="99"/>
        <v>1694.7</v>
      </c>
      <c r="N214" s="142"/>
    </row>
    <row r="215" spans="1:14" s="43" customFormat="1" ht="75" x14ac:dyDescent="0.25">
      <c r="A215" s="41"/>
      <c r="B215" s="41"/>
      <c r="C215" s="35"/>
      <c r="D215" s="35" t="s">
        <v>1157</v>
      </c>
      <c r="E215" s="11" t="s">
        <v>1155</v>
      </c>
      <c r="F215" s="274" t="s">
        <v>732</v>
      </c>
      <c r="G215" s="321" t="s">
        <v>1221</v>
      </c>
      <c r="H215" s="351">
        <v>2304.4</v>
      </c>
      <c r="I215" s="351">
        <v>1798.3</v>
      </c>
      <c r="J215" s="355">
        <f>SUM(H215)</f>
        <v>2304.4</v>
      </c>
      <c r="K215" s="355">
        <v>1694.7</v>
      </c>
      <c r="L215" s="355">
        <v>1694.7</v>
      </c>
      <c r="M215" s="355">
        <v>1694.7</v>
      </c>
      <c r="N215" s="142"/>
    </row>
    <row r="216" spans="1:14" s="43" customFormat="1" ht="75" x14ac:dyDescent="0.25">
      <c r="A216" s="41"/>
      <c r="B216" s="41"/>
      <c r="C216" s="35"/>
      <c r="D216" s="53" t="s">
        <v>1166</v>
      </c>
      <c r="E216" s="15" t="s">
        <v>1167</v>
      </c>
      <c r="F216" s="277"/>
      <c r="G216" s="321" t="s">
        <v>1222</v>
      </c>
      <c r="H216" s="356">
        <f>SUM(H217)</f>
        <v>24328.1</v>
      </c>
      <c r="I216" s="356">
        <f t="shared" ref="I216:M216" si="100">SUM(I217)</f>
        <v>24328.1</v>
      </c>
      <c r="J216" s="356">
        <f t="shared" si="100"/>
        <v>24328.1</v>
      </c>
      <c r="K216" s="356">
        <f t="shared" si="100"/>
        <v>25410</v>
      </c>
      <c r="L216" s="356">
        <f t="shared" si="100"/>
        <v>25410</v>
      </c>
      <c r="M216" s="356">
        <f t="shared" si="100"/>
        <v>25410</v>
      </c>
      <c r="N216" s="142"/>
    </row>
    <row r="217" spans="1:14" s="43" customFormat="1" ht="75.75" customHeight="1" x14ac:dyDescent="0.25">
      <c r="A217" s="41"/>
      <c r="B217" s="41"/>
      <c r="C217" s="35"/>
      <c r="D217" s="273" t="s">
        <v>1158</v>
      </c>
      <c r="E217" s="11" t="s">
        <v>1168</v>
      </c>
      <c r="F217" s="274" t="s">
        <v>1102</v>
      </c>
      <c r="G217" s="321" t="s">
        <v>1223</v>
      </c>
      <c r="H217" s="348">
        <v>24328.1</v>
      </c>
      <c r="I217" s="348">
        <v>24328.1</v>
      </c>
      <c r="J217" s="355">
        <f>SUM(H217)</f>
        <v>24328.1</v>
      </c>
      <c r="K217" s="348">
        <v>25410</v>
      </c>
      <c r="L217" s="348">
        <v>25410</v>
      </c>
      <c r="M217" s="348">
        <v>25410</v>
      </c>
    </row>
    <row r="218" spans="1:14" s="55" customFormat="1" ht="45" x14ac:dyDescent="0.25">
      <c r="A218" s="52"/>
      <c r="B218" s="52"/>
      <c r="C218" s="53"/>
      <c r="D218" s="276" t="s">
        <v>743</v>
      </c>
      <c r="E218" s="15" t="s">
        <v>1159</v>
      </c>
      <c r="F218" s="277"/>
      <c r="G218" s="321" t="s">
        <v>1224</v>
      </c>
      <c r="H218" s="349">
        <f>H219</f>
        <v>1689.4</v>
      </c>
      <c r="I218" s="349">
        <f t="shared" ref="I218:M218" si="101">I219</f>
        <v>979.8</v>
      </c>
      <c r="J218" s="355">
        <f t="shared" ref="J218:J224" si="102">SUM(H218)</f>
        <v>1689.4</v>
      </c>
      <c r="K218" s="349">
        <f t="shared" si="101"/>
        <v>1744.7</v>
      </c>
      <c r="L218" s="349">
        <f t="shared" si="101"/>
        <v>1938</v>
      </c>
      <c r="M218" s="349">
        <f t="shared" si="101"/>
        <v>2448.1999999999998</v>
      </c>
    </row>
    <row r="219" spans="1:14" s="43" customFormat="1" ht="60" x14ac:dyDescent="0.25">
      <c r="A219" s="41"/>
      <c r="B219" s="41"/>
      <c r="C219" s="35"/>
      <c r="D219" s="273" t="s">
        <v>1161</v>
      </c>
      <c r="E219" s="11" t="s">
        <v>1160</v>
      </c>
      <c r="F219" s="274" t="s">
        <v>770</v>
      </c>
      <c r="G219" s="321" t="s">
        <v>1225</v>
      </c>
      <c r="H219" s="355">
        <v>1689.4</v>
      </c>
      <c r="I219" s="355">
        <v>979.8</v>
      </c>
      <c r="J219" s="355">
        <f>SUM(H219)</f>
        <v>1689.4</v>
      </c>
      <c r="K219" s="355">
        <v>1744.7</v>
      </c>
      <c r="L219" s="355">
        <v>1938</v>
      </c>
      <c r="M219" s="355">
        <v>2448.1999999999998</v>
      </c>
    </row>
    <row r="220" spans="1:14" s="43" customFormat="1" ht="60" x14ac:dyDescent="0.25">
      <c r="A220" s="41"/>
      <c r="B220" s="41"/>
      <c r="C220" s="35"/>
      <c r="D220" s="276" t="s">
        <v>741</v>
      </c>
      <c r="E220" s="15" t="s">
        <v>1000</v>
      </c>
      <c r="F220" s="277"/>
      <c r="G220" s="321" t="s">
        <v>1226</v>
      </c>
      <c r="H220" s="357">
        <f>SUM(H221)</f>
        <v>10.199999999999999</v>
      </c>
      <c r="I220" s="357">
        <f t="shared" ref="I220:M220" si="103">SUM(I221)</f>
        <v>5</v>
      </c>
      <c r="J220" s="357">
        <f t="shared" si="103"/>
        <v>10.199999999999999</v>
      </c>
      <c r="K220" s="357">
        <f t="shared" si="103"/>
        <v>67.400000000000006</v>
      </c>
      <c r="L220" s="357">
        <f t="shared" si="103"/>
        <v>7.8</v>
      </c>
      <c r="M220" s="357">
        <f t="shared" si="103"/>
        <v>8.6</v>
      </c>
    </row>
    <row r="221" spans="1:14" s="43" customFormat="1" ht="67.5" customHeight="1" x14ac:dyDescent="0.25">
      <c r="A221" s="41"/>
      <c r="B221" s="41"/>
      <c r="C221" s="35"/>
      <c r="D221" s="273" t="s">
        <v>777</v>
      </c>
      <c r="E221" s="11" t="s">
        <v>775</v>
      </c>
      <c r="F221" s="274" t="s">
        <v>770</v>
      </c>
      <c r="G221" s="321" t="s">
        <v>1227</v>
      </c>
      <c r="H221" s="355">
        <v>10.199999999999999</v>
      </c>
      <c r="I221" s="355">
        <v>5</v>
      </c>
      <c r="J221" s="355">
        <f>SUM(H221)</f>
        <v>10.199999999999999</v>
      </c>
      <c r="K221" s="355">
        <v>67.400000000000006</v>
      </c>
      <c r="L221" s="355">
        <v>7.8</v>
      </c>
      <c r="M221" s="355">
        <v>8.6</v>
      </c>
    </row>
    <row r="222" spans="1:14" s="55" customFormat="1" ht="135" x14ac:dyDescent="0.25">
      <c r="A222" s="52"/>
      <c r="B222" s="52"/>
      <c r="C222" s="53"/>
      <c r="D222" s="276" t="s">
        <v>744</v>
      </c>
      <c r="E222" s="15" t="s">
        <v>1162</v>
      </c>
      <c r="F222" s="277"/>
      <c r="G222" s="321" t="s">
        <v>1228</v>
      </c>
      <c r="H222" s="357">
        <f>H223</f>
        <v>23279.8</v>
      </c>
      <c r="I222" s="357">
        <f t="shared" ref="I222:M222" si="104">I223</f>
        <v>18819.8</v>
      </c>
      <c r="J222" s="357">
        <f t="shared" si="102"/>
        <v>23279.8</v>
      </c>
      <c r="K222" s="357">
        <f t="shared" si="104"/>
        <v>23436</v>
      </c>
      <c r="L222" s="357">
        <f t="shared" si="104"/>
        <v>23436</v>
      </c>
      <c r="M222" s="357">
        <f t="shared" si="104"/>
        <v>23436</v>
      </c>
      <c r="N222" s="304"/>
    </row>
    <row r="223" spans="1:14" s="47" customFormat="1" ht="117" customHeight="1" x14ac:dyDescent="0.25">
      <c r="A223" s="41"/>
      <c r="B223" s="41"/>
      <c r="C223" s="35"/>
      <c r="D223" s="273" t="s">
        <v>752</v>
      </c>
      <c r="E223" s="11" t="s">
        <v>1163</v>
      </c>
      <c r="F223" s="274" t="s">
        <v>732</v>
      </c>
      <c r="G223" s="321" t="s">
        <v>1229</v>
      </c>
      <c r="H223" s="355">
        <v>23279.8</v>
      </c>
      <c r="I223" s="355">
        <v>18819.8</v>
      </c>
      <c r="J223" s="355">
        <f>SUM(H223)</f>
        <v>23279.8</v>
      </c>
      <c r="K223" s="355">
        <v>23436</v>
      </c>
      <c r="L223" s="355">
        <v>23436</v>
      </c>
      <c r="M223" s="355">
        <v>23436</v>
      </c>
    </row>
    <row r="224" spans="1:14" s="43" customFormat="1" x14ac:dyDescent="0.25">
      <c r="A224" s="138"/>
      <c r="B224" s="138"/>
      <c r="C224" s="53"/>
      <c r="D224" s="276" t="s">
        <v>740</v>
      </c>
      <c r="E224" s="362" t="s">
        <v>1164</v>
      </c>
      <c r="F224" s="277"/>
      <c r="G224" s="321" t="s">
        <v>1230</v>
      </c>
      <c r="H224" s="349">
        <f>H225</f>
        <v>8026.3</v>
      </c>
      <c r="I224" s="349">
        <f t="shared" ref="I224:M224" si="105">I225</f>
        <v>8026.3</v>
      </c>
      <c r="J224" s="357">
        <f t="shared" si="102"/>
        <v>8026.3</v>
      </c>
      <c r="K224" s="349">
        <f t="shared" si="105"/>
        <v>8182.4</v>
      </c>
      <c r="L224" s="349">
        <f t="shared" si="105"/>
        <v>8182.4</v>
      </c>
      <c r="M224" s="349">
        <f t="shared" si="105"/>
        <v>8182.4</v>
      </c>
    </row>
    <row r="225" spans="1:17" s="142" customFormat="1" ht="61.5" customHeight="1" x14ac:dyDescent="0.25">
      <c r="A225" s="139"/>
      <c r="B225" s="139"/>
      <c r="C225" s="35"/>
      <c r="D225" s="273" t="s">
        <v>742</v>
      </c>
      <c r="E225" s="339" t="s">
        <v>1165</v>
      </c>
      <c r="F225" s="274" t="s">
        <v>726</v>
      </c>
      <c r="G225" s="321" t="s">
        <v>1231</v>
      </c>
      <c r="H225" s="348">
        <v>8026.3</v>
      </c>
      <c r="I225" s="348">
        <v>8026.3</v>
      </c>
      <c r="J225" s="355">
        <f>SUM(H225)</f>
        <v>8026.3</v>
      </c>
      <c r="K225" s="348">
        <v>8182.4</v>
      </c>
      <c r="L225" s="348">
        <v>8182.4</v>
      </c>
      <c r="M225" s="348">
        <v>8182.4</v>
      </c>
    </row>
    <row r="226" spans="1:17" s="43" customFormat="1" ht="29.25" x14ac:dyDescent="0.25">
      <c r="A226" s="41"/>
      <c r="B226" s="41"/>
      <c r="C226" s="136" t="s">
        <v>229</v>
      </c>
      <c r="D226" s="136" t="s">
        <v>270</v>
      </c>
      <c r="E226" s="136" t="s">
        <v>229</v>
      </c>
      <c r="F226" s="137"/>
      <c r="G226" s="319" t="s">
        <v>1232</v>
      </c>
      <c r="H226" s="352">
        <f>SUM(H228:H229)</f>
        <v>6315.9</v>
      </c>
      <c r="I226" s="352">
        <f t="shared" ref="I226:M226" si="106">SUM(I228:I229)</f>
        <v>5648.7</v>
      </c>
      <c r="J226" s="352">
        <f t="shared" si="106"/>
        <v>6315.9</v>
      </c>
      <c r="K226" s="352">
        <f t="shared" si="106"/>
        <v>2582.9</v>
      </c>
      <c r="L226" s="352">
        <f t="shared" si="106"/>
        <v>3091.7</v>
      </c>
      <c r="M226" s="352">
        <f t="shared" si="106"/>
        <v>3129.5</v>
      </c>
    </row>
    <row r="227" spans="1:17" s="43" customFormat="1" ht="76.5" customHeight="1" x14ac:dyDescent="0.25">
      <c r="A227" s="41"/>
      <c r="B227" s="41"/>
      <c r="C227" s="276"/>
      <c r="D227" s="283" t="s">
        <v>1169</v>
      </c>
      <c r="E227" s="15" t="s">
        <v>1170</v>
      </c>
      <c r="F227" s="277"/>
      <c r="G227" s="321" t="s">
        <v>1233</v>
      </c>
      <c r="H227" s="349">
        <f>SUM(H228)</f>
        <v>2481.8000000000002</v>
      </c>
      <c r="I227" s="349">
        <f t="shared" ref="I227:M227" si="107">SUM(I228)</f>
        <v>2037.5</v>
      </c>
      <c r="J227" s="349">
        <f t="shared" si="107"/>
        <v>2481.8000000000002</v>
      </c>
      <c r="K227" s="349">
        <f t="shared" si="107"/>
        <v>2582.9</v>
      </c>
      <c r="L227" s="349">
        <f t="shared" si="107"/>
        <v>3054</v>
      </c>
      <c r="M227" s="349">
        <f t="shared" si="107"/>
        <v>3091.8</v>
      </c>
    </row>
    <row r="228" spans="1:17" s="43" customFormat="1" ht="90" x14ac:dyDescent="0.25">
      <c r="A228" s="41"/>
      <c r="B228" s="41"/>
      <c r="C228" s="35"/>
      <c r="D228" s="273" t="s">
        <v>838</v>
      </c>
      <c r="E228" s="11" t="s">
        <v>1171</v>
      </c>
      <c r="F228" s="274" t="s">
        <v>732</v>
      </c>
      <c r="G228" s="321" t="s">
        <v>1234</v>
      </c>
      <c r="H228" s="355">
        <v>2481.8000000000002</v>
      </c>
      <c r="I228" s="355">
        <v>2037.5</v>
      </c>
      <c r="J228" s="358">
        <f>SUM(H228)</f>
        <v>2481.8000000000002</v>
      </c>
      <c r="K228" s="358">
        <v>2582.9</v>
      </c>
      <c r="L228" s="358">
        <v>3054</v>
      </c>
      <c r="M228" s="358">
        <v>3091.8</v>
      </c>
    </row>
    <row r="229" spans="1:17" s="43" customFormat="1" ht="29.25" x14ac:dyDescent="0.25">
      <c r="A229" s="41"/>
      <c r="B229" s="41"/>
      <c r="C229" s="45"/>
      <c r="D229" s="283" t="s">
        <v>782</v>
      </c>
      <c r="E229" s="283" t="s">
        <v>783</v>
      </c>
      <c r="F229" s="284"/>
      <c r="G229" s="321" t="s">
        <v>1235</v>
      </c>
      <c r="H229" s="359">
        <f>SUM(H230:H234)</f>
        <v>3834.1</v>
      </c>
      <c r="I229" s="359">
        <f t="shared" ref="I229:M229" si="108">SUM(I230:I234)</f>
        <v>3611.2</v>
      </c>
      <c r="J229" s="359">
        <f t="shared" si="108"/>
        <v>3834.1</v>
      </c>
      <c r="K229" s="359">
        <f t="shared" si="108"/>
        <v>0</v>
      </c>
      <c r="L229" s="359">
        <f t="shared" si="108"/>
        <v>37.700000000000003</v>
      </c>
      <c r="M229" s="359">
        <f t="shared" si="108"/>
        <v>37.700000000000003</v>
      </c>
    </row>
    <row r="230" spans="1:17" s="43" customFormat="1" ht="75" x14ac:dyDescent="0.25">
      <c r="A230" s="41"/>
      <c r="B230" s="41"/>
      <c r="C230" s="35"/>
      <c r="D230" s="273" t="s">
        <v>1172</v>
      </c>
      <c r="E230" s="300" t="s">
        <v>1173</v>
      </c>
      <c r="F230" s="274" t="s">
        <v>371</v>
      </c>
      <c r="G230" s="321" t="s">
        <v>1236</v>
      </c>
      <c r="H230" s="348">
        <v>310</v>
      </c>
      <c r="I230" s="351">
        <v>310</v>
      </c>
      <c r="J230" s="358">
        <f>SUM(H230)</f>
        <v>310</v>
      </c>
      <c r="K230" s="358">
        <v>0</v>
      </c>
      <c r="L230" s="358">
        <v>0</v>
      </c>
      <c r="M230" s="358">
        <v>0</v>
      </c>
      <c r="N230" s="385"/>
      <c r="O230" s="386"/>
      <c r="P230" s="386"/>
      <c r="Q230" s="386"/>
    </row>
    <row r="231" spans="1:17" s="43" customFormat="1" ht="75" x14ac:dyDescent="0.25">
      <c r="A231" s="41"/>
      <c r="B231" s="41"/>
      <c r="C231" s="35"/>
      <c r="D231" s="273" t="s">
        <v>1172</v>
      </c>
      <c r="E231" s="300" t="s">
        <v>1174</v>
      </c>
      <c r="F231" s="274" t="s">
        <v>371</v>
      </c>
      <c r="G231" s="321" t="s">
        <v>1237</v>
      </c>
      <c r="H231" s="348">
        <v>1126.2</v>
      </c>
      <c r="I231" s="351">
        <v>1076.2</v>
      </c>
      <c r="J231" s="358">
        <f t="shared" ref="J231:J234" si="109">SUM(H231)</f>
        <v>1126.2</v>
      </c>
      <c r="K231" s="358">
        <v>0</v>
      </c>
      <c r="L231" s="358">
        <v>0</v>
      </c>
      <c r="M231" s="358">
        <v>0</v>
      </c>
      <c r="N231" s="305"/>
      <c r="O231" s="298"/>
      <c r="P231" s="298"/>
      <c r="Q231" s="298"/>
    </row>
    <row r="232" spans="1:17" s="43" customFormat="1" ht="75" x14ac:dyDescent="0.25">
      <c r="A232" s="41"/>
      <c r="B232" s="41"/>
      <c r="C232" s="35"/>
      <c r="D232" s="273" t="s">
        <v>1172</v>
      </c>
      <c r="E232" s="300" t="s">
        <v>1175</v>
      </c>
      <c r="F232" s="274" t="s">
        <v>371</v>
      </c>
      <c r="G232" s="321" t="s">
        <v>1238</v>
      </c>
      <c r="H232" s="348">
        <v>800</v>
      </c>
      <c r="I232" s="351">
        <v>800</v>
      </c>
      <c r="J232" s="358">
        <f t="shared" si="109"/>
        <v>800</v>
      </c>
      <c r="K232" s="358">
        <v>0</v>
      </c>
      <c r="L232" s="358">
        <v>0</v>
      </c>
      <c r="M232" s="358">
        <v>0</v>
      </c>
      <c r="N232" s="305"/>
      <c r="O232" s="298"/>
      <c r="P232" s="298"/>
      <c r="Q232" s="298"/>
    </row>
    <row r="233" spans="1:17" s="43" customFormat="1" ht="75" x14ac:dyDescent="0.25">
      <c r="A233" s="201"/>
      <c r="B233" s="201"/>
      <c r="C233" s="35"/>
      <c r="D233" s="273" t="s">
        <v>831</v>
      </c>
      <c r="E233" s="300" t="s">
        <v>792</v>
      </c>
      <c r="F233" s="274" t="s">
        <v>732</v>
      </c>
      <c r="G233" s="321" t="s">
        <v>1239</v>
      </c>
      <c r="H233" s="348">
        <v>1556</v>
      </c>
      <c r="I233" s="351">
        <v>1425</v>
      </c>
      <c r="J233" s="358">
        <f t="shared" si="109"/>
        <v>1556</v>
      </c>
      <c r="K233" s="358">
        <v>0</v>
      </c>
      <c r="L233" s="358">
        <v>0</v>
      </c>
      <c r="M233" s="358">
        <v>0</v>
      </c>
    </row>
    <row r="234" spans="1:17" s="43" customFormat="1" ht="59.25" customHeight="1" x14ac:dyDescent="0.25">
      <c r="A234" s="201"/>
      <c r="B234" s="201"/>
      <c r="C234" s="35"/>
      <c r="D234" s="273" t="s">
        <v>784</v>
      </c>
      <c r="E234" s="300" t="s">
        <v>604</v>
      </c>
      <c r="F234" s="274" t="s">
        <v>1102</v>
      </c>
      <c r="G234" s="321" t="s">
        <v>1240</v>
      </c>
      <c r="H234" s="348">
        <v>41.9</v>
      </c>
      <c r="I234" s="351">
        <v>0</v>
      </c>
      <c r="J234" s="358">
        <f t="shared" si="109"/>
        <v>41.9</v>
      </c>
      <c r="K234" s="358">
        <v>0</v>
      </c>
      <c r="L234" s="358">
        <v>37.700000000000003</v>
      </c>
      <c r="M234" s="358">
        <v>37.700000000000003</v>
      </c>
    </row>
    <row r="235" spans="1:17" s="43" customFormat="1" ht="59.25" customHeight="1" x14ac:dyDescent="0.25">
      <c r="A235" s="201"/>
      <c r="B235" s="201"/>
      <c r="C235" s="136" t="s">
        <v>464</v>
      </c>
      <c r="D235" s="136" t="s">
        <v>1206</v>
      </c>
      <c r="E235" s="136" t="s">
        <v>464</v>
      </c>
      <c r="F235" s="364"/>
      <c r="G235" s="319" t="s">
        <v>1241</v>
      </c>
      <c r="H235" s="137">
        <f>SUM(H236)</f>
        <v>0</v>
      </c>
      <c r="I235" s="365">
        <f t="shared" ref="I235:M236" si="110">SUM(I236)</f>
        <v>200</v>
      </c>
      <c r="J235" s="137">
        <f t="shared" si="110"/>
        <v>200</v>
      </c>
      <c r="K235" s="137">
        <f t="shared" si="110"/>
        <v>0</v>
      </c>
      <c r="L235" s="137">
        <f t="shared" si="110"/>
        <v>0</v>
      </c>
      <c r="M235" s="137">
        <f t="shared" si="110"/>
        <v>0</v>
      </c>
    </row>
    <row r="236" spans="1:17" s="43" customFormat="1" ht="30" customHeight="1" x14ac:dyDescent="0.25">
      <c r="A236" s="201"/>
      <c r="B236" s="201"/>
      <c r="C236" s="283"/>
      <c r="D236" s="276" t="s">
        <v>1208</v>
      </c>
      <c r="E236" s="276" t="s">
        <v>1207</v>
      </c>
      <c r="F236" s="274"/>
      <c r="G236" s="321" t="s">
        <v>1242</v>
      </c>
      <c r="H236" s="357">
        <f>SUM(H237)</f>
        <v>0</v>
      </c>
      <c r="I236" s="357">
        <f t="shared" si="110"/>
        <v>200</v>
      </c>
      <c r="J236" s="357">
        <f t="shared" si="110"/>
        <v>200</v>
      </c>
      <c r="K236" s="357">
        <f t="shared" si="110"/>
        <v>0</v>
      </c>
      <c r="L236" s="357">
        <f t="shared" si="110"/>
        <v>0</v>
      </c>
      <c r="M236" s="357">
        <f t="shared" si="110"/>
        <v>0</v>
      </c>
    </row>
    <row r="237" spans="1:17" s="43" customFormat="1" ht="30" customHeight="1" x14ac:dyDescent="0.25">
      <c r="A237" s="201"/>
      <c r="B237" s="201"/>
      <c r="C237" s="35"/>
      <c r="D237" s="273" t="s">
        <v>1209</v>
      </c>
      <c r="E237" s="300" t="s">
        <v>1207</v>
      </c>
      <c r="F237" s="274"/>
      <c r="G237" s="321" t="s">
        <v>1243</v>
      </c>
      <c r="H237" s="348">
        <v>0</v>
      </c>
      <c r="I237" s="366">
        <v>200</v>
      </c>
      <c r="J237" s="358">
        <f>SUM(I237)</f>
        <v>200</v>
      </c>
      <c r="K237" s="358"/>
      <c r="L237" s="358"/>
      <c r="M237" s="358"/>
    </row>
    <row r="238" spans="1:17" s="47" customFormat="1" ht="85.5" customHeight="1" x14ac:dyDescent="0.25">
      <c r="A238" s="48"/>
      <c r="B238" s="48"/>
      <c r="C238" s="120" t="s">
        <v>1176</v>
      </c>
      <c r="D238" s="136" t="s">
        <v>1178</v>
      </c>
      <c r="E238" s="120" t="s">
        <v>1176</v>
      </c>
      <c r="F238" s="137"/>
      <c r="G238" s="319" t="s">
        <v>1244</v>
      </c>
      <c r="H238" s="360">
        <f>SUM(H239)</f>
        <v>29.4</v>
      </c>
      <c r="I238" s="360">
        <f t="shared" ref="I238:M238" si="111">SUM(I239)</f>
        <v>44.8</v>
      </c>
      <c r="J238" s="360">
        <f t="shared" si="111"/>
        <v>44.8</v>
      </c>
      <c r="K238" s="360">
        <f t="shared" si="111"/>
        <v>0</v>
      </c>
      <c r="L238" s="360">
        <f t="shared" si="111"/>
        <v>0</v>
      </c>
      <c r="M238" s="360">
        <f t="shared" si="111"/>
        <v>0</v>
      </c>
    </row>
    <row r="239" spans="1:17" s="47" customFormat="1" ht="105" x14ac:dyDescent="0.25">
      <c r="A239" s="48"/>
      <c r="B239" s="48"/>
      <c r="C239" s="229"/>
      <c r="D239" s="276" t="s">
        <v>1177</v>
      </c>
      <c r="E239" s="15" t="s">
        <v>1182</v>
      </c>
      <c r="F239" s="277"/>
      <c r="G239" s="321" t="s">
        <v>1245</v>
      </c>
      <c r="H239" s="357">
        <f>SUM(H241)</f>
        <v>29.4</v>
      </c>
      <c r="I239" s="357">
        <f t="shared" ref="I239:M239" si="112">SUM(I241)</f>
        <v>44.8</v>
      </c>
      <c r="J239" s="357">
        <f t="shared" si="112"/>
        <v>44.8</v>
      </c>
      <c r="K239" s="357">
        <f t="shared" si="112"/>
        <v>0</v>
      </c>
      <c r="L239" s="357">
        <f t="shared" si="112"/>
        <v>0</v>
      </c>
      <c r="M239" s="357">
        <f t="shared" si="112"/>
        <v>0</v>
      </c>
    </row>
    <row r="240" spans="1:17" s="47" customFormat="1" ht="105" x14ac:dyDescent="0.25">
      <c r="A240" s="48"/>
      <c r="B240" s="48"/>
      <c r="C240" s="229"/>
      <c r="D240" s="276" t="s">
        <v>1179</v>
      </c>
      <c r="E240" s="15" t="s">
        <v>1183</v>
      </c>
      <c r="F240" s="277"/>
      <c r="G240" s="321" t="s">
        <v>1246</v>
      </c>
      <c r="H240" s="357">
        <f>SUM(H241)</f>
        <v>29.4</v>
      </c>
      <c r="I240" s="357">
        <f t="shared" ref="I240:M240" si="113">SUM(I241)</f>
        <v>44.8</v>
      </c>
      <c r="J240" s="357">
        <f t="shared" si="113"/>
        <v>44.8</v>
      </c>
      <c r="K240" s="357">
        <f t="shared" si="113"/>
        <v>0</v>
      </c>
      <c r="L240" s="357">
        <f t="shared" si="113"/>
        <v>0</v>
      </c>
      <c r="M240" s="357">
        <f t="shared" si="113"/>
        <v>0</v>
      </c>
    </row>
    <row r="241" spans="1:13" s="47" customFormat="1" ht="45" x14ac:dyDescent="0.25">
      <c r="A241" s="48"/>
      <c r="B241" s="48"/>
      <c r="C241" s="229"/>
      <c r="D241" s="276" t="s">
        <v>1180</v>
      </c>
      <c r="E241" s="15" t="s">
        <v>1184</v>
      </c>
      <c r="F241" s="277"/>
      <c r="G241" s="321" t="s">
        <v>1247</v>
      </c>
      <c r="H241" s="357">
        <f>SUM(H242:H243)</f>
        <v>29.4</v>
      </c>
      <c r="I241" s="357">
        <f t="shared" ref="I241:M241" si="114">SUM(I242:I243)</f>
        <v>44.8</v>
      </c>
      <c r="J241" s="357">
        <f t="shared" si="114"/>
        <v>44.8</v>
      </c>
      <c r="K241" s="357">
        <f t="shared" si="114"/>
        <v>0</v>
      </c>
      <c r="L241" s="357">
        <f t="shared" si="114"/>
        <v>0</v>
      </c>
      <c r="M241" s="357">
        <f t="shared" si="114"/>
        <v>0</v>
      </c>
    </row>
    <row r="242" spans="1:13" s="47" customFormat="1" ht="75" x14ac:dyDescent="0.25">
      <c r="A242" s="48"/>
      <c r="B242" s="48"/>
      <c r="C242" s="229"/>
      <c r="D242" s="273" t="s">
        <v>1181</v>
      </c>
      <c r="E242" s="11" t="s">
        <v>1185</v>
      </c>
      <c r="F242" s="274" t="s">
        <v>732</v>
      </c>
      <c r="G242" s="321" t="s">
        <v>1248</v>
      </c>
      <c r="H242" s="355">
        <v>29.4</v>
      </c>
      <c r="I242" s="355">
        <v>43.8</v>
      </c>
      <c r="J242" s="355">
        <f>SUM(I242)</f>
        <v>43.8</v>
      </c>
      <c r="K242" s="348">
        <v>0</v>
      </c>
      <c r="L242" s="348">
        <v>0</v>
      </c>
      <c r="M242" s="348">
        <v>0</v>
      </c>
    </row>
    <row r="243" spans="1:13" s="47" customFormat="1" ht="60" x14ac:dyDescent="0.25">
      <c r="A243" s="48"/>
      <c r="B243" s="48"/>
      <c r="C243" s="229"/>
      <c r="D243" s="273" t="s">
        <v>1186</v>
      </c>
      <c r="E243" s="11" t="s">
        <v>1185</v>
      </c>
      <c r="F243" s="274" t="s">
        <v>770</v>
      </c>
      <c r="G243" s="321" t="s">
        <v>1249</v>
      </c>
      <c r="H243" s="355">
        <v>0</v>
      </c>
      <c r="I243" s="355">
        <v>1</v>
      </c>
      <c r="J243" s="355">
        <f>SUM(I243)</f>
        <v>1</v>
      </c>
      <c r="K243" s="348">
        <v>0</v>
      </c>
      <c r="L243" s="348">
        <v>0</v>
      </c>
      <c r="M243" s="348">
        <v>0</v>
      </c>
    </row>
    <row r="244" spans="1:13" ht="84" customHeight="1" x14ac:dyDescent="0.25">
      <c r="A244" s="41"/>
      <c r="B244" s="41"/>
      <c r="C244" s="136" t="s">
        <v>232</v>
      </c>
      <c r="D244" s="136" t="s">
        <v>1187</v>
      </c>
      <c r="E244" s="136" t="s">
        <v>232</v>
      </c>
      <c r="F244" s="137"/>
      <c r="G244" s="319" t="s">
        <v>1250</v>
      </c>
      <c r="H244" s="352">
        <f>SUM(H245)</f>
        <v>-2936</v>
      </c>
      <c r="I244" s="352">
        <f t="shared" ref="I244:M244" si="115">SUM(I245)</f>
        <v>-2936</v>
      </c>
      <c r="J244" s="352">
        <f t="shared" si="115"/>
        <v>-2936</v>
      </c>
      <c r="K244" s="352">
        <f t="shared" si="115"/>
        <v>0</v>
      </c>
      <c r="L244" s="352">
        <f t="shared" si="115"/>
        <v>0</v>
      </c>
      <c r="M244" s="352">
        <f t="shared" si="115"/>
        <v>0</v>
      </c>
    </row>
    <row r="245" spans="1:13" ht="64.5" customHeight="1" x14ac:dyDescent="0.25">
      <c r="A245" s="218"/>
      <c r="B245" s="218"/>
      <c r="C245" s="283"/>
      <c r="D245" s="276" t="s">
        <v>1188</v>
      </c>
      <c r="E245" s="15" t="s">
        <v>1189</v>
      </c>
      <c r="F245" s="277"/>
      <c r="G245" s="321" t="s">
        <v>1251</v>
      </c>
      <c r="H245" s="349">
        <f>SUM(H246:H248)</f>
        <v>-2936</v>
      </c>
      <c r="I245" s="349">
        <f>SUM(I246:I248)</f>
        <v>-2936</v>
      </c>
      <c r="J245" s="349">
        <f t="shared" ref="J245:M245" si="116">SUM(J246:J248)</f>
        <v>-2936</v>
      </c>
      <c r="K245" s="349">
        <f t="shared" si="116"/>
        <v>0</v>
      </c>
      <c r="L245" s="349">
        <f t="shared" si="116"/>
        <v>0</v>
      </c>
      <c r="M245" s="349">
        <f t="shared" si="116"/>
        <v>0</v>
      </c>
    </row>
    <row r="246" spans="1:13" ht="75" x14ac:dyDescent="0.25">
      <c r="A246" s="218"/>
      <c r="B246" s="218"/>
      <c r="C246" s="283"/>
      <c r="D246" s="339" t="s">
        <v>1192</v>
      </c>
      <c r="E246" s="11" t="s">
        <v>1190</v>
      </c>
      <c r="F246" s="274" t="s">
        <v>732</v>
      </c>
      <c r="G246" s="321" t="s">
        <v>1252</v>
      </c>
      <c r="H246" s="348">
        <v>-25.9</v>
      </c>
      <c r="I246" s="367">
        <v>-25.9</v>
      </c>
      <c r="J246" s="348">
        <f>SUM(H246)</f>
        <v>-25.9</v>
      </c>
      <c r="K246" s="348">
        <v>0</v>
      </c>
      <c r="L246" s="348">
        <v>0</v>
      </c>
      <c r="M246" s="348">
        <v>0</v>
      </c>
    </row>
    <row r="247" spans="1:13" ht="135" x14ac:dyDescent="0.25">
      <c r="A247" s="218"/>
      <c r="B247" s="218"/>
      <c r="C247" s="283"/>
      <c r="D247" s="339" t="s">
        <v>1193</v>
      </c>
      <c r="E247" s="11" t="s">
        <v>1191</v>
      </c>
      <c r="F247" s="274" t="s">
        <v>732</v>
      </c>
      <c r="G247" s="321" t="s">
        <v>1253</v>
      </c>
      <c r="H247" s="348">
        <v>-2</v>
      </c>
      <c r="I247" s="367">
        <v>-2</v>
      </c>
      <c r="J247" s="348">
        <f>SUM(H247)</f>
        <v>-2</v>
      </c>
      <c r="K247" s="348">
        <v>0</v>
      </c>
      <c r="L247" s="348">
        <v>0</v>
      </c>
      <c r="M247" s="348">
        <v>0</v>
      </c>
    </row>
    <row r="248" spans="1:13" ht="60" x14ac:dyDescent="0.25">
      <c r="A248" s="218"/>
      <c r="B248" s="218"/>
      <c r="C248" s="283"/>
      <c r="D248" s="276" t="s">
        <v>1196</v>
      </c>
      <c r="E248" s="15" t="s">
        <v>911</v>
      </c>
      <c r="F248" s="277"/>
      <c r="G248" s="321" t="s">
        <v>1254</v>
      </c>
      <c r="H248" s="349">
        <f>SUM(H249:H255)</f>
        <v>-2908.1</v>
      </c>
      <c r="I248" s="349">
        <f t="shared" ref="I248:M248" si="117">SUM(I249:I255)</f>
        <v>-2908.1</v>
      </c>
      <c r="J248" s="349">
        <f t="shared" si="117"/>
        <v>-2908.1</v>
      </c>
      <c r="K248" s="349">
        <f t="shared" si="117"/>
        <v>0</v>
      </c>
      <c r="L248" s="349">
        <f t="shared" si="117"/>
        <v>0</v>
      </c>
      <c r="M248" s="349">
        <f t="shared" si="117"/>
        <v>0</v>
      </c>
    </row>
    <row r="249" spans="1:13" s="200" customFormat="1" ht="75" x14ac:dyDescent="0.25">
      <c r="A249" s="198"/>
      <c r="B249" s="198"/>
      <c r="C249" s="143"/>
      <c r="D249" s="339" t="s">
        <v>1194</v>
      </c>
      <c r="E249" s="300" t="s">
        <v>1154</v>
      </c>
      <c r="F249" s="274" t="s">
        <v>732</v>
      </c>
      <c r="G249" s="321" t="s">
        <v>1255</v>
      </c>
      <c r="H249" s="348">
        <v>-1.6</v>
      </c>
      <c r="I249" s="351">
        <v>-1.6</v>
      </c>
      <c r="J249" s="348">
        <f>SUM(H249)</f>
        <v>-1.6</v>
      </c>
      <c r="K249" s="348">
        <v>0</v>
      </c>
      <c r="L249" s="348">
        <v>0</v>
      </c>
      <c r="M249" s="348">
        <v>0</v>
      </c>
    </row>
    <row r="250" spans="1:13" s="200" customFormat="1" ht="105" x14ac:dyDescent="0.25">
      <c r="A250" s="198"/>
      <c r="B250" s="198"/>
      <c r="C250" s="143"/>
      <c r="D250" s="339" t="s">
        <v>1194</v>
      </c>
      <c r="E250" s="303" t="s">
        <v>404</v>
      </c>
      <c r="F250" s="274" t="s">
        <v>732</v>
      </c>
      <c r="G250" s="321" t="s">
        <v>1256</v>
      </c>
      <c r="H250" s="348">
        <v>-6.9</v>
      </c>
      <c r="I250" s="351">
        <v>-6.9</v>
      </c>
      <c r="J250" s="348">
        <f t="shared" ref="J250:J255" si="118">SUM(H250)</f>
        <v>-6.9</v>
      </c>
      <c r="K250" s="348">
        <v>0</v>
      </c>
      <c r="L250" s="348">
        <v>0</v>
      </c>
      <c r="M250" s="348">
        <v>0</v>
      </c>
    </row>
    <row r="251" spans="1:13" s="200" customFormat="1" ht="90" x14ac:dyDescent="0.25">
      <c r="A251" s="198"/>
      <c r="B251" s="198"/>
      <c r="C251" s="143"/>
      <c r="D251" s="339" t="s">
        <v>1194</v>
      </c>
      <c r="E251" s="303" t="s">
        <v>1143</v>
      </c>
      <c r="F251" s="274" t="s">
        <v>732</v>
      </c>
      <c r="G251" s="321" t="s">
        <v>1257</v>
      </c>
      <c r="H251" s="348">
        <v>-127.8</v>
      </c>
      <c r="I251" s="351">
        <v>-127.8</v>
      </c>
      <c r="J251" s="348">
        <f t="shared" si="118"/>
        <v>-127.8</v>
      </c>
      <c r="K251" s="348">
        <v>0</v>
      </c>
      <c r="L251" s="348">
        <v>0</v>
      </c>
      <c r="M251" s="348">
        <v>0</v>
      </c>
    </row>
    <row r="252" spans="1:13" s="200" customFormat="1" ht="75" x14ac:dyDescent="0.25">
      <c r="A252" s="198"/>
      <c r="B252" s="198"/>
      <c r="C252" s="143"/>
      <c r="D252" s="339" t="s">
        <v>1194</v>
      </c>
      <c r="E252" s="300" t="s">
        <v>569</v>
      </c>
      <c r="F252" s="274" t="s">
        <v>732</v>
      </c>
      <c r="G252" s="321" t="s">
        <v>1258</v>
      </c>
      <c r="H252" s="348">
        <v>-251.7</v>
      </c>
      <c r="I252" s="351">
        <v>-251.7</v>
      </c>
      <c r="J252" s="348">
        <f t="shared" si="118"/>
        <v>-251.7</v>
      </c>
      <c r="K252" s="348">
        <v>0</v>
      </c>
      <c r="L252" s="348">
        <v>0</v>
      </c>
      <c r="M252" s="348">
        <v>0</v>
      </c>
    </row>
    <row r="253" spans="1:13" s="200" customFormat="1" ht="75" x14ac:dyDescent="0.25">
      <c r="A253" s="198"/>
      <c r="B253" s="198"/>
      <c r="C253" s="143"/>
      <c r="D253" s="339" t="s">
        <v>1210</v>
      </c>
      <c r="E253" s="300" t="s">
        <v>1152</v>
      </c>
      <c r="F253" s="274" t="s">
        <v>755</v>
      </c>
      <c r="G253" s="321" t="s">
        <v>1259</v>
      </c>
      <c r="H253" s="348">
        <v>-2.5</v>
      </c>
      <c r="I253" s="351">
        <v>-2.5</v>
      </c>
      <c r="J253" s="348">
        <f t="shared" si="118"/>
        <v>-2.5</v>
      </c>
      <c r="K253" s="348">
        <v>0</v>
      </c>
      <c r="L253" s="348">
        <v>0</v>
      </c>
      <c r="M253" s="348">
        <v>0</v>
      </c>
    </row>
    <row r="254" spans="1:13" s="200" customFormat="1" ht="90" x14ac:dyDescent="0.25">
      <c r="A254" s="198"/>
      <c r="B254" s="198"/>
      <c r="C254" s="143"/>
      <c r="D254" s="339" t="s">
        <v>1195</v>
      </c>
      <c r="E254" s="300" t="s">
        <v>1011</v>
      </c>
      <c r="F254" s="274" t="s">
        <v>1102</v>
      </c>
      <c r="G254" s="321" t="s">
        <v>1260</v>
      </c>
      <c r="H254" s="348">
        <v>-2209.6999999999998</v>
      </c>
      <c r="I254" s="351">
        <v>-2209.6999999999998</v>
      </c>
      <c r="J254" s="348">
        <f t="shared" si="118"/>
        <v>-2209.6999999999998</v>
      </c>
      <c r="K254" s="348">
        <v>0</v>
      </c>
      <c r="L254" s="348">
        <v>0</v>
      </c>
      <c r="M254" s="348">
        <v>0</v>
      </c>
    </row>
    <row r="255" spans="1:13" ht="90" x14ac:dyDescent="0.25">
      <c r="C255" s="361"/>
      <c r="D255" s="339" t="s">
        <v>1195</v>
      </c>
      <c r="E255" s="300" t="s">
        <v>1145</v>
      </c>
      <c r="F255" s="274" t="s">
        <v>1102</v>
      </c>
      <c r="G255" s="321" t="s">
        <v>1261</v>
      </c>
      <c r="H255" s="348">
        <v>-307.89999999999998</v>
      </c>
      <c r="I255" s="351">
        <v>-307.89999999999998</v>
      </c>
      <c r="J255" s="348">
        <f t="shared" si="118"/>
        <v>-307.89999999999998</v>
      </c>
      <c r="K255" s="348">
        <v>0</v>
      </c>
      <c r="L255" s="348">
        <v>0</v>
      </c>
      <c r="M255" s="348">
        <v>0</v>
      </c>
    </row>
  </sheetData>
  <mergeCells count="16">
    <mergeCell ref="N230:Q230"/>
    <mergeCell ref="C1:M1"/>
    <mergeCell ref="A2:A4"/>
    <mergeCell ref="C2:C4"/>
    <mergeCell ref="D2:E2"/>
    <mergeCell ref="F2:F4"/>
    <mergeCell ref="G2:G4"/>
    <mergeCell ref="H2:H4"/>
    <mergeCell ref="I2:I4"/>
    <mergeCell ref="J2:J4"/>
    <mergeCell ref="K2:M2"/>
    <mergeCell ref="D3:D4"/>
    <mergeCell ref="E3:E4"/>
    <mergeCell ref="K3:K4"/>
    <mergeCell ref="L3:L4"/>
    <mergeCell ref="M3:M4"/>
  </mergeCells>
  <pageMargins left="0.70866141732283472" right="0.70866141732283472" top="0.74803149606299213" bottom="0.74803149606299213"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vt:i4>
      </vt:variant>
    </vt:vector>
  </HeadingPairs>
  <TitlesOfParts>
    <vt:vector size="8" baseType="lpstr">
      <vt:lpstr>21-23</vt:lpstr>
      <vt:lpstr>22-24</vt:lpstr>
      <vt:lpstr>23-25</vt:lpstr>
      <vt:lpstr>25-27</vt:lpstr>
      <vt:lpstr>26-28</vt:lpstr>
      <vt:lpstr>'22-24'!Область_печати</vt:lpstr>
      <vt:lpstr>'23-25'!Область_печати</vt:lpstr>
      <vt:lpstr>'26-28'!Область_печати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Budg4</dc:creator>
  <cp:lastModifiedBy>Мясникова Наталия Вячеславовна</cp:lastModifiedBy>
  <cp:lastPrinted>2025-11-13T12:20:43Z</cp:lastPrinted>
  <dcterms:created xsi:type="dcterms:W3CDTF">2017-10-27T11:10:21Z</dcterms:created>
  <dcterms:modified xsi:type="dcterms:W3CDTF">2025-11-13T12:21:16Z</dcterms:modified>
</cp:coreProperties>
</file>